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Workgroups\FPC Marketing\Energy Efficiency and Sales\Business Programs\8 BHVAC Core Team\Calculators\"/>
    </mc:Choice>
  </mc:AlternateContent>
  <xr:revisionPtr revIDLastSave="0" documentId="8_{1F1F2B37-041A-4222-88EF-A9AC4EAA1697}" xr6:coauthVersionLast="47" xr6:coauthVersionMax="47" xr10:uidLastSave="{00000000-0000-0000-0000-000000000000}"/>
  <bookViews>
    <workbookView xWindow="1170" yWindow="1170" windowWidth="21600" windowHeight="11385" tabRatio="727" xr2:uid="{00000000-000D-0000-FFFF-FFFF00000000}"/>
  </bookViews>
  <sheets>
    <sheet name="DXAC Prog and Lookup" sheetId="143" r:id="rId1"/>
    <sheet name="ASHRAE Std 90.1" sheetId="147" r:id="rId2"/>
  </sheets>
  <definedNames>
    <definedName name="Base_Efficiency_EER">'DXAC Prog and Lookup'!$D$35</definedName>
    <definedName name="Base_IEER_to_EER_Factor_more_than_65_Mbtuh">'DXAC Prog and Lookup'!$D$17</definedName>
    <definedName name="BES">'DXAC Prog and Lookup'!$D$15</definedName>
    <definedName name="BES_Factor">'DXAC Prog and Lookup'!$D$15</definedName>
    <definedName name="Calculated_Base_Efficiency">'DXAC Prog and Lookup'!$D$30</definedName>
    <definedName name="Calculated_New_Efficiency">'DXAC Prog and Lookup'!$D$31</definedName>
    <definedName name="Capacity_135_Mbtuh">'DXAC Prog and Lookup'!$D$11</definedName>
    <definedName name="Capacity_240_Mbtuh">'DXAC Prog and Lookup'!$D$12</definedName>
    <definedName name="Capacity_65_Mbtuh">'DXAC Prog and Lookup'!$D$10</definedName>
    <definedName name="Capacity_760_Mbtuh">'DXAC Prog and Lookup'!$D$13</definedName>
    <definedName name="Dollars_per_kW">#REF!</definedName>
    <definedName name="DX_Capacity" localSheetId="1">#REF!</definedName>
    <definedName name="DX_Capacity">#REF!</definedName>
    <definedName name="DX_EER" localSheetId="1">#REF!</definedName>
    <definedName name="DX_EER">#REF!</definedName>
    <definedName name="Dx_Heat_Pump" localSheetId="1">#REF!</definedName>
    <definedName name="Dx_Heat_Pump">#REF!</definedName>
    <definedName name="DX_Inc">'DXAC Prog and Lookup'!$D$14</definedName>
    <definedName name="DX_kW_Incent_Table" localSheetId="1">#REF!</definedName>
    <definedName name="DX_kW_Incent_Table">'DXAC Prog and Lookup'!$B$70:$V$94</definedName>
    <definedName name="DX_kWh" localSheetId="1">#REF!</definedName>
    <definedName name="DX_kWh">'DXAC Prog and Lookup'!$D$21</definedName>
    <definedName name="DX_QUAL" localSheetId="1">#REF!</definedName>
    <definedName name="DX_QUAL">'DXAC Prog and Lookup'!$D$100</definedName>
    <definedName name="DX_SkW" localSheetId="1">#REF!</definedName>
    <definedName name="DX_SkW">'DXAC Prog and Lookup'!$D$19</definedName>
    <definedName name="DX_WkW" localSheetId="1">#REF!</definedName>
    <definedName name="DX_WkW">'DXAC Prog and Lookup'!$D$20</definedName>
    <definedName name="EER">'DXAC Prog and Lookup'!$J$25</definedName>
    <definedName name="Efficiency_Rating">'DXAC Prog and Lookup'!$D$35</definedName>
    <definedName name="FPL_Rebate">'DXAC Prog and Lookup'!$D$14</definedName>
    <definedName name="Heat_Pump">'DXAC Prog and Lookup'!$D$36</definedName>
    <definedName name="IEER">'DXAC Prog and Lookup'!$J$27</definedName>
    <definedName name="Inc_MBTUH_GE_135" localSheetId="1">#REF!</definedName>
    <definedName name="Inc_MBTUH_GE_135">'DXAC Prog and Lookup'!$N$98</definedName>
    <definedName name="Inc_MBTUH_GE_240" localSheetId="1">#REF!</definedName>
    <definedName name="Inc_MBTUH_GE_240">'DXAC Prog and Lookup'!$K$98</definedName>
    <definedName name="Inc_MBTUH_GE_65" localSheetId="1">#REF!</definedName>
    <definedName name="Inc_MBTUH_GE_65">'DXAC Prog and Lookup'!$Q$98</definedName>
    <definedName name="Inc_MBTUH_GE_760" localSheetId="1">#REF!</definedName>
    <definedName name="Inc_MBTUH_GE_760">'DXAC Prog and Lookup'!$H$98</definedName>
    <definedName name="Inc_MBTUH_LT_65" localSheetId="1">#REF!</definedName>
    <definedName name="Inc_MBTUH_LT_65">'DXAC Prog and Lookup'!$T$98</definedName>
    <definedName name="kW_MBtuh_GE_135" localSheetId="1">#REF!</definedName>
    <definedName name="kW_MBtuh_GE_135">'DXAC Prog and Lookup'!$N$97</definedName>
    <definedName name="kW_MBtuh_GE_240" localSheetId="1">#REF!</definedName>
    <definedName name="kW_MBtuh_GE_240">'DXAC Prog and Lookup'!$K$97</definedName>
    <definedName name="kW_MBtuh_GE_65" localSheetId="1">#REF!</definedName>
    <definedName name="kW_MBtuh_GE_65">'DXAC Prog and Lookup'!$Q$97</definedName>
    <definedName name="KW_MBtuh_GE_760" localSheetId="1">#REF!</definedName>
    <definedName name="KW_MBtuh_GE_760">'DXAC Prog and Lookup'!$H$97</definedName>
    <definedName name="kW_MBtuh_LT_65" localSheetId="1">#REF!</definedName>
    <definedName name="kW_MBtuh_LT_65">'DXAC Prog and Lookup'!$T$97</definedName>
    <definedName name="KW_reduction_at_meter">'DXAC Prog and Lookup'!$G$44</definedName>
    <definedName name="kWh_Factor">'DXAC Prog and Lookup'!$D$21</definedName>
    <definedName name="kWh_reduction__KWH">'DXAC Prog and Lookup'!$G$47</definedName>
    <definedName name="Min_EER_135_240" localSheetId="1">#REF!</definedName>
    <definedName name="Min_EER_135_240">'DXAC Prog and Lookup'!$D$7</definedName>
    <definedName name="Min_EER_240_760" localSheetId="1">#REF!</definedName>
    <definedName name="Min_EER_240_760">'DXAC Prog and Lookup'!$D$8</definedName>
    <definedName name="Min_EER_65" localSheetId="1">#REF!</definedName>
    <definedName name="Min_EER_65">'DXAC Prog and Lookup'!$D$5</definedName>
    <definedName name="Min_EER_65_135" localSheetId="1">#REF!</definedName>
    <definedName name="Min_EER_65_135">'DXAC Prog and Lookup'!$D$6</definedName>
    <definedName name="MIN_EER_760" localSheetId="1">#REF!</definedName>
    <definedName name="MIN_EER_760">'DXAC Prog and Lookup'!$D$9</definedName>
    <definedName name="New_EER" localSheetId="1">#REF!</definedName>
    <definedName name="New_EER">'DXAC Prog and Lookup'!#REF!</definedName>
    <definedName name="New_EER_SEER2_IEER">'DXAC Prog and Lookup'!$D$39</definedName>
    <definedName name="New_IEER_to_EER_Factor_more_than_65_Mbtuh">'DXAC Prog and Lookup'!$D$18</definedName>
    <definedName name="Rebate_amount">'DXAC Prog and Lookup'!$G$48</definedName>
    <definedName name="SEER_Factor">'DXAC Prog and Lookup'!$D$16</definedName>
    <definedName name="SEER2">'DXAC Prog and Lookup'!$J$26</definedName>
    <definedName name="SEER2_Factor_less_than_65_Mbtuh">'DXAC Prog and Lookup'!$D$16</definedName>
    <definedName name="Summer_kW_Factor">'DXAC Prog and Lookup'!$D$19</definedName>
    <definedName name="Summer_KW_reduction__SKW">'DXAC Prog and Lookup'!$G$45</definedName>
    <definedName name="System_Capacity__Mbtuh">'DXAC Prog and Lookup'!$D$38</definedName>
    <definedName name="Unit_Capacity_MBTuh" localSheetId="1">#REF!</definedName>
    <definedName name="Unit_Capacity_MBTuh">'DXAC Prog and Lookup'!#REF!</definedName>
    <definedName name="Water_Cooled">'DXAC Prog and Lookup'!$D$37</definedName>
    <definedName name="Water_Cooled_Weighted_Average">'DXAC Prog and Lookup'!$D$24</definedName>
    <definedName name="wcc_Path" localSheetId="1">#REF!</definedName>
    <definedName name="wcc_Path">#REF!</definedName>
    <definedName name="wcc_PathA_Inc" localSheetId="1">#REF!</definedName>
    <definedName name="wcc_PathA_Inc">#REF!</definedName>
    <definedName name="wcc_PathA_kWh" localSheetId="1">#REF!</definedName>
    <definedName name="wcc_PathA_kWh">#REF!</definedName>
    <definedName name="wcc_PathA_SkW">#REF!</definedName>
    <definedName name="wcc_PathA_WkW" localSheetId="1">#REF!</definedName>
    <definedName name="wcc_PathA_WkW">#REF!</definedName>
    <definedName name="wcc_PB_Inc" localSheetId="1">#REF!</definedName>
    <definedName name="wcc_PB_Inc">#REF!</definedName>
    <definedName name="wcc_PB_kWh" localSheetId="1">#REF!</definedName>
    <definedName name="wcc_PB_kWh">#REF!</definedName>
    <definedName name="wcc_PB_SkW" localSheetId="1">#REF!</definedName>
    <definedName name="wcc_PB_SkW">#REF!</definedName>
    <definedName name="wcc_PB_WkW" localSheetId="1">#REF!</definedName>
    <definedName name="wcc_PB_WkW">#REF!</definedName>
    <definedName name="Winter_kW_Factor">'DXAC Prog and Lookup'!$D$20</definedName>
    <definedName name="Winter_KW_reduction__WKW">'DXAC Prog and Lookup'!$G$46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43" l="1"/>
  <c r="D27" i="143"/>
  <c r="D28" i="143"/>
  <c r="D26" i="143"/>
  <c r="D29" i="143"/>
  <c r="I3" i="143"/>
  <c r="D31" i="143"/>
  <c r="D32" i="143" l="1"/>
  <c r="D30" i="143"/>
  <c r="M14" i="147"/>
  <c r="M6" i="147"/>
  <c r="M5" i="147"/>
  <c r="M7" i="147"/>
  <c r="M8" i="147"/>
  <c r="M9" i="147"/>
  <c r="M10" i="147"/>
  <c r="M11" i="147"/>
  <c r="M12" i="147"/>
  <c r="M13" i="147"/>
  <c r="G20" i="147" l="1"/>
  <c r="G22" i="147"/>
  <c r="G23" i="147"/>
  <c r="G24" i="147"/>
  <c r="G25" i="147"/>
  <c r="G26" i="147"/>
  <c r="G21" i="147"/>
  <c r="G7" i="147"/>
  <c r="I9" i="147" s="1"/>
  <c r="G8" i="147"/>
  <c r="G9" i="147"/>
  <c r="G10" i="147"/>
  <c r="G11" i="147"/>
  <c r="G12" i="147"/>
  <c r="G13" i="147"/>
  <c r="G6" i="147"/>
  <c r="C44" i="147"/>
  <c r="C45" i="147"/>
  <c r="C46" i="147"/>
  <c r="C47" i="147"/>
  <c r="C48" i="147"/>
  <c r="C49" i="147"/>
  <c r="C50" i="147"/>
  <c r="C51" i="147"/>
  <c r="C52" i="147"/>
  <c r="C53" i="147"/>
  <c r="C54" i="147"/>
  <c r="C55" i="147"/>
  <c r="C56" i="147"/>
  <c r="C57" i="147"/>
  <c r="C58" i="147"/>
  <c r="C59" i="147"/>
  <c r="C60" i="147"/>
  <c r="C61" i="147"/>
  <c r="C43" i="147"/>
  <c r="C62" i="147" l="1"/>
  <c r="I24" i="147"/>
  <c r="K16" i="147" s="1"/>
  <c r="D17" i="143" l="1"/>
  <c r="G44" i="143" l="1"/>
  <c r="D44" i="143" s="1"/>
  <c r="F44" i="143" s="1"/>
  <c r="D100" i="143"/>
  <c r="G45" i="143" l="1"/>
  <c r="D45" i="143" s="1"/>
  <c r="F45" i="143" s="1"/>
  <c r="J60" i="143"/>
  <c r="M60" i="143"/>
  <c r="P60" i="143"/>
  <c r="S60" i="143"/>
  <c r="V60" i="143"/>
  <c r="H98" i="143"/>
  <c r="Q97" i="143"/>
  <c r="K98" i="143"/>
  <c r="K97" i="143"/>
  <c r="Q98" i="143"/>
  <c r="T98" i="143"/>
  <c r="T97" i="143"/>
  <c r="N98" i="143"/>
  <c r="H97" i="143" l="1"/>
  <c r="N97" i="143"/>
  <c r="D101" i="143" l="1"/>
  <c r="G46" i="143" l="1"/>
  <c r="D46" i="143" s="1"/>
  <c r="F46" i="143" s="1"/>
  <c r="G47" i="143" l="1"/>
  <c r="D47" i="143" s="1"/>
  <c r="F47" i="143" s="1"/>
  <c r="G48" i="143"/>
  <c r="D48" i="143" s="1"/>
  <c r="F48" i="143" s="1"/>
  <c r="D49" i="1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Lui, Chi</author>
    <author>LSN0HTR</author>
    <author>tc={56CB44BC-B252-4E27-B00C-A339A70B0A85}</author>
    <author>tc={2E2E9196-6E8E-48CD-9734-6D3589240289}</author>
    <author>tc={5D28334E-E15A-4732-BA91-2E80B69D24CE}</author>
    <author>tc={7E43906B-3087-4FA8-B720-5CF0837DAB23}</author>
  </authors>
  <commentList>
    <comment ref="D3" authorId="0" shapeId="0" xr:uid="{05168839-7FAC-4D08-862B-10CED4E833FB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Added factor, new effiiency must be better by 7%
</t>
        </r>
      </text>
    </comment>
    <comment ref="G6" authorId="0" shapeId="0" xr:uid="{E0FC0C22-6069-4903-8936-4A2EF5B5E395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Added IEER Baseline</t>
        </r>
      </text>
    </comment>
    <comment ref="D16" authorId="0" shapeId="0" xr:uid="{2767F3BF-3C61-4953-A429-C1A539BABB65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Updated SEER2 to SEER factor; =13/13.4
</t>
        </r>
      </text>
    </comment>
    <comment ref="D17" authorId="0" shapeId="0" xr:uid="{E37582E1-BAA6-43A0-B044-9752C7E58C8B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Do not need values
</t>
        </r>
      </text>
    </comment>
    <comment ref="V58" authorId="1" shapeId="0" xr:uid="{429116B9-21C9-458D-AC9E-9DC2060703E2}">
      <text>
        <r>
          <rPr>
            <b/>
            <sz val="8"/>
            <color indexed="81"/>
            <rFont val="Tahoma"/>
            <family val="2"/>
          </rPr>
          <t>LSN0HTR:</t>
        </r>
        <r>
          <rPr>
            <sz val="8"/>
            <color indexed="81"/>
            <rFont val="Tahoma"/>
            <family val="2"/>
          </rPr>
          <t xml:space="preserve">
SEER to EER Factor provided by  AHRI DATA BASE</t>
        </r>
      </text>
    </comment>
    <comment ref="J60" authorId="2" shapeId="0" xr:uid="{56CB44BC-B252-4E27-B00C-A339A70B0A85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Baseline reduced 0.4 to accomodate the 10.0 value in the table</t>
      </text>
    </comment>
    <comment ref="M60" authorId="3" shapeId="0" xr:uid="{2E2E9196-6E8E-48CD-9734-6D3589240289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Baseline reduced by 0.3 to accomodate the 10.5 value in the table</t>
      </text>
    </comment>
    <comment ref="P60" authorId="4" shapeId="0" xr:uid="{5D28334E-E15A-4732-BA91-2E80B69D24CE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Baseline reduced 0.3 to accomodate the 11.5 value in the table</t>
      </text>
    </comment>
    <comment ref="V60" authorId="5" shapeId="0" xr:uid="{7E43906B-3087-4FA8-B720-5CF0837DAB23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Baseline reduced 0.3 to accomodate the 14.0 value in the table</t>
      </text>
    </comment>
    <comment ref="V90" authorId="1" shapeId="0" xr:uid="{BE1E87DA-21BC-43CD-949A-A60BC3E06544}">
      <text>
        <r>
          <rPr>
            <b/>
            <sz val="9"/>
            <color indexed="81"/>
            <rFont val="Tahoma"/>
            <family val="2"/>
          </rPr>
          <t>LSN0HTR:</t>
        </r>
        <r>
          <rPr>
            <sz val="9"/>
            <color indexed="81"/>
            <rFont val="Tahoma"/>
            <family val="2"/>
          </rPr>
          <t xml:space="preserve">
kW /ton Reduction =[(12/Base SEER*.82) -(New (kW/Ton)/.82))*BES Impact Factor]*1 ton/12MBtuh</t>
        </r>
      </text>
    </comment>
  </commentList>
</comments>
</file>

<file path=xl/sharedStrings.xml><?xml version="1.0" encoding="utf-8"?>
<sst xmlns="http://schemas.openxmlformats.org/spreadsheetml/2006/main" count="270" uniqueCount="180">
  <si>
    <t>DX Program Level Inputs</t>
  </si>
  <si>
    <t>Qualifier factor - x% better than MinQual</t>
  </si>
  <si>
    <t>EER</t>
  </si>
  <si>
    <t>IEER</t>
  </si>
  <si>
    <t>Minimum Qualified Efficiency for less than 65 Mbtuh</t>
  </si>
  <si>
    <t>Min_EER_65</t>
  </si>
  <si>
    <t>Fundamental base equation:</t>
  </si>
  <si>
    <t>Minimum Qualified Efficiency for 65 ≤ MBtuh &lt; 135</t>
  </si>
  <si>
    <t>Min_EER_65_135</t>
  </si>
  <si>
    <r>
      <t>kW</t>
    </r>
    <r>
      <rPr>
        <vertAlign val="subscript"/>
        <sz val="14"/>
        <color theme="1"/>
        <rFont val="Calibri"/>
        <family val="2"/>
        <scheme val="minor"/>
      </rPr>
      <t xml:space="preserve">at the meter </t>
    </r>
    <r>
      <rPr>
        <sz val="14"/>
        <color theme="1"/>
        <rFont val="Calibri"/>
        <family val="2"/>
        <scheme val="minor"/>
      </rPr>
      <t xml:space="preserve">= </t>
    </r>
  </si>
  <si>
    <t>(Unit Capacity Mbtuh/12 * (12/EERbase – 12/EERnew)) * BES Factor</t>
  </si>
  <si>
    <t xml:space="preserve">Minimum Qualified Efficiency for 135 ≤  MBtuh &lt; 240 </t>
  </si>
  <si>
    <t>Min_EER_135_240</t>
  </si>
  <si>
    <t xml:space="preserve">Unit Capacity Mbtuh/12: </t>
  </si>
  <si>
    <t>Conversion Mbtuh to Ton</t>
  </si>
  <si>
    <t xml:space="preserve">Minimum Qualified Efficiency for 240 ≤ MBtuh &lt; 760 </t>
  </si>
  <si>
    <t>Min_EER_240_760</t>
  </si>
  <si>
    <r>
      <t>12/EER</t>
    </r>
    <r>
      <rPr>
        <vertAlign val="subscript"/>
        <sz val="14"/>
        <color theme="1"/>
        <rFont val="Calibri"/>
        <family val="2"/>
        <scheme val="minor"/>
      </rPr>
      <t>base</t>
    </r>
    <r>
      <rPr>
        <sz val="14"/>
        <color theme="1"/>
        <rFont val="Calibri"/>
        <family val="2"/>
        <scheme val="minor"/>
      </rPr>
      <t xml:space="preserve">: </t>
    </r>
  </si>
  <si>
    <t>Conversion EE_SEER2_IEER to KW/Ton</t>
  </si>
  <si>
    <t>Minimum Qualified Efficiency for MBtuh  ≥ 760</t>
  </si>
  <si>
    <t>MIN_EER_760</t>
  </si>
  <si>
    <r>
      <t>12/EER</t>
    </r>
    <r>
      <rPr>
        <vertAlign val="subscript"/>
        <sz val="14"/>
        <color theme="1"/>
        <rFont val="Calibri"/>
        <family val="2"/>
        <scheme val="minor"/>
      </rPr>
      <t>new</t>
    </r>
    <r>
      <rPr>
        <sz val="14"/>
        <color theme="1"/>
        <rFont val="Calibri"/>
        <family val="2"/>
        <scheme val="minor"/>
      </rPr>
      <t xml:space="preserve">: </t>
    </r>
  </si>
  <si>
    <t>Capacity 65 Mbtuh</t>
  </si>
  <si>
    <t>Capacity_65_Mbtuh</t>
  </si>
  <si>
    <t>Capacity 135 Mbtuh</t>
  </si>
  <si>
    <t>Capacity_135_Mbtuh</t>
  </si>
  <si>
    <t>Qualification criteria calculations applied prior to calculation of Indicators</t>
  </si>
  <si>
    <t>Capacity 240 Mbtuh</t>
  </si>
  <si>
    <t>Capacity_240_Mbtuh</t>
  </si>
  <si>
    <t>Capacity 760 Mbtuh</t>
  </si>
  <si>
    <t>Capacity_760_Mbtuh</t>
  </si>
  <si>
    <t>Transformation equations to SkW, WkW, GWh, Incentive (OUTPUT):</t>
  </si>
  <si>
    <t>FPL Rebate $/KW ===&gt;</t>
  </si>
  <si>
    <t>FPL_Rebate</t>
  </si>
  <si>
    <t xml:space="preserve">Indicator = </t>
  </si>
  <si>
    <t>Factor per kW * kWon premise</t>
  </si>
  <si>
    <t>BES Factor</t>
  </si>
  <si>
    <t>BES_Factor</t>
  </si>
  <si>
    <t xml:space="preserve">Indicator (Summer KW Reduction) = </t>
  </si>
  <si>
    <t>Summer KW  Factor * Summer KW Reduction</t>
  </si>
  <si>
    <t>SEER2 Factor less than 65 Mbtuh</t>
  </si>
  <si>
    <t>SEER2_Factor_less_than_65_Mbtuh</t>
  </si>
  <si>
    <t xml:space="preserve">Indicator (Winter KW Reduction) = </t>
  </si>
  <si>
    <t>Winter KW  Factor * Summer KW Reduction</t>
  </si>
  <si>
    <t>new field</t>
  </si>
  <si>
    <t>Base IEER to EER Factor more than 65 Mbtuh</t>
  </si>
  <si>
    <t>Base_IEER_to_EER_Factor_more_than_65_Mbtuh</t>
  </si>
  <si>
    <t>New IEER to EER Factor more than 65 Mbtuh</t>
  </si>
  <si>
    <t>New_IEER_to_EER_Factor_more_than_65_Mbtuh</t>
  </si>
  <si>
    <t xml:space="preserve">Indicator (KWh Reduction) = </t>
  </si>
  <si>
    <t>KWh Factor * Summer KW Reduction</t>
  </si>
  <si>
    <t>Summer kW Factor</t>
  </si>
  <si>
    <t>Summer_kW_Factor</t>
  </si>
  <si>
    <t>Winter kW Factor</t>
  </si>
  <si>
    <t>Winter_kW_Factor</t>
  </si>
  <si>
    <t>Rebate Amount:</t>
  </si>
  <si>
    <t>kWh Factor</t>
  </si>
  <si>
    <t>kWh_Factor</t>
  </si>
  <si>
    <t xml:space="preserve">Rebate Amount = </t>
  </si>
  <si>
    <t>Summer KW Reduction * FPL Rebate</t>
  </si>
  <si>
    <t>Heat Pump</t>
  </si>
  <si>
    <t>Yes</t>
  </si>
  <si>
    <t>Heat_Pump</t>
  </si>
  <si>
    <t>No</t>
  </si>
  <si>
    <t>Data Validation:</t>
  </si>
  <si>
    <t>Water Cooled Weighted Average</t>
  </si>
  <si>
    <t>EFFICIENCY CONDITIONS</t>
  </si>
  <si>
    <t>System Capacity must be &gt;= 65Mbtuh</t>
  </si>
  <si>
    <t>Base Efficiency EER Qualifier</t>
  </si>
  <si>
    <t>Base_Efficiency_EER</t>
  </si>
  <si>
    <t>SEER2</t>
  </si>
  <si>
    <t>System Capacity must be &lt; 65Mbtuh</t>
  </si>
  <si>
    <t>Base Efficiency SEER Qualifier</t>
  </si>
  <si>
    <t>Energy Efficiency Ratio</t>
  </si>
  <si>
    <t>Base Efficiency SEER2 Qualifier</t>
  </si>
  <si>
    <t>SEER</t>
  </si>
  <si>
    <t>Seasonal Energy Efficiency Ratio 2</t>
  </si>
  <si>
    <t xml:space="preserve">new field </t>
  </si>
  <si>
    <t>Base Efficiency IEER Qualifier</t>
  </si>
  <si>
    <t>Integrated Energy Efficiency Ratio</t>
  </si>
  <si>
    <t>Minimum Qualified Efficiency (SEER, SEER2, EER, IEER)</t>
  </si>
  <si>
    <t>Calculated_Base_Efficiency</t>
  </si>
  <si>
    <t>Calculated New Efficiency</t>
  </si>
  <si>
    <t>Calculated_New_Efficiency</t>
  </si>
  <si>
    <t>Qualification</t>
  </si>
  <si>
    <t>DNQ</t>
  </si>
  <si>
    <t>Do Not Qualify</t>
  </si>
  <si>
    <t>Qualify</t>
  </si>
  <si>
    <t>Direct Expansion Unit (DX)</t>
  </si>
  <si>
    <t>Type of Efficiency Rating (EER/SEER/SEER2/IEER)</t>
  </si>
  <si>
    <t>Water Cooled</t>
  </si>
  <si>
    <t>On UI, we will reuse Chiller/Compressor type field with two selection as "Air Cooled" and "Water Cooled"</t>
  </si>
  <si>
    <t>System Capacity (Mbtuh)</t>
  </si>
  <si>
    <t>Efficiency Rating (EER/SEER/SEER2/IEER)</t>
  </si>
  <si>
    <t>Number of Units Installed</t>
  </si>
  <si>
    <t>Results</t>
  </si>
  <si>
    <t>If multiple units</t>
  </si>
  <si>
    <t>revised formula</t>
  </si>
  <si>
    <t>KW Reduction at Meter</t>
  </si>
  <si>
    <t>Summer KW Reduction (SKW)</t>
  </si>
  <si>
    <t>Winter KW Reduction (WKW)</t>
  </si>
  <si>
    <t>kWh Reduction (KWH)</t>
  </si>
  <si>
    <t>Incentive</t>
  </si>
  <si>
    <t>Minimum Rebate Paid</t>
  </si>
  <si>
    <t>This should be ignored by Salesforce</t>
  </si>
  <si>
    <t>For additional support:</t>
  </si>
  <si>
    <t> </t>
  </si>
  <si>
    <t>Business HVAC Program Support:</t>
  </si>
  <si>
    <t>Gary.R.Reynolds@fpl.com</t>
  </si>
  <si>
    <t>Mike.Catarzi@fpl.com</t>
  </si>
  <si>
    <t>Busines HVAC Technical Support:</t>
  </si>
  <si>
    <t>Chi.Lui@fpl.com</t>
  </si>
  <si>
    <t>Abel.Alonso@fpl.com</t>
  </si>
  <si>
    <t>EER to SEER</t>
  </si>
  <si>
    <t>Rebate</t>
  </si>
  <si>
    <t>BES</t>
  </si>
  <si>
    <t>Code</t>
  </si>
  <si>
    <t xml:space="preserve">         &gt;=760 Mbtuh</t>
  </si>
  <si>
    <t xml:space="preserve">  240 =&lt; Mbtuh &lt; 760 MBtuh</t>
  </si>
  <si>
    <t xml:space="preserve">  135 =&lt; Mbtuh &lt; 240 MBtuh</t>
  </si>
  <si>
    <t xml:space="preserve">  65 =&lt; Mbtuh &lt; 135 Mbtuh</t>
  </si>
  <si>
    <t>&lt; 65 MBtuh</t>
  </si>
  <si>
    <t>Paym $/kw</t>
  </si>
  <si>
    <t>Factor</t>
  </si>
  <si>
    <t>EER Basis</t>
  </si>
  <si>
    <t xml:space="preserve">   Qualify </t>
  </si>
  <si>
    <t xml:space="preserve">  Qualify </t>
  </si>
  <si>
    <t>SEER Basis</t>
  </si>
  <si>
    <t>EER =&gt;</t>
  </si>
  <si>
    <t xml:space="preserve">FPL Rebates DX </t>
  </si>
  <si>
    <t xml:space="preserve"> </t>
  </si>
  <si>
    <t xml:space="preserve"> Must Meet Efficiency Standards ASHRAE 90.1        </t>
  </si>
  <si>
    <t>Dx Unitary</t>
  </si>
  <si>
    <t xml:space="preserve">Cap   Tons </t>
  </si>
  <si>
    <t>Tons   ≥ 63.33</t>
  </si>
  <si>
    <t xml:space="preserve">20 ≤  Tons  &lt; 63.33 </t>
  </si>
  <si>
    <t>11.25 ≤ Tons  &lt; 20</t>
  </si>
  <si>
    <t>5.42 ≤ Tons   &lt; 11.25</t>
  </si>
  <si>
    <t>Tons &lt; 5.42</t>
  </si>
  <si>
    <t xml:space="preserve">Cap MBtuh </t>
  </si>
  <si>
    <t>MBtuh  ≥ 760</t>
  </si>
  <si>
    <t xml:space="preserve">240 ≤ MBtuh &lt; 760 </t>
  </si>
  <si>
    <t xml:space="preserve">135 ≤  MBtuh &lt; 240 </t>
  </si>
  <si>
    <t>65 ≤ MBtuh &lt; 135</t>
  </si>
  <si>
    <t>MBtuh &lt; 65</t>
  </si>
  <si>
    <t>Eff</t>
  </si>
  <si>
    <t>Rebate &gt;63</t>
  </si>
  <si>
    <t>Reduction</t>
  </si>
  <si>
    <t>Rebate 20 to 63</t>
  </si>
  <si>
    <t>(S)EER</t>
  </si>
  <si>
    <t>KW/TON</t>
  </si>
  <si>
    <t>COP</t>
  </si>
  <si>
    <t>$/MBtuh</t>
  </si>
  <si>
    <t>$/tons</t>
  </si>
  <si>
    <t>kW/MBtuh</t>
  </si>
  <si>
    <t>kW Lookup</t>
  </si>
  <si>
    <t>Incentive Lookup</t>
  </si>
  <si>
    <t>DX Qualify</t>
  </si>
  <si>
    <t>kW @ Meter</t>
  </si>
  <si>
    <t>Table 6.8.1-1 Electrically Operated Unitary Air Conditioners and Condensing Units - Minimum Efficiency Requirements</t>
  </si>
  <si>
    <t>Air Conditioners, Air-Cooled</t>
  </si>
  <si>
    <t>Size Category</t>
  </si>
  <si>
    <t>Heating Type</t>
  </si>
  <si>
    <t>&lt; 65 Mbtuh</t>
  </si>
  <si>
    <t>All</t>
  </si>
  <si>
    <t>(given)</t>
  </si>
  <si>
    <r>
      <rPr>
        <sz val="10"/>
        <rFont val="Cambria"/>
        <family val="1"/>
      </rPr>
      <t xml:space="preserve">≥ </t>
    </r>
    <r>
      <rPr>
        <sz val="10"/>
        <rFont val="Arial"/>
        <family val="2"/>
      </rPr>
      <t xml:space="preserve">65 Mbtuh and </t>
    </r>
    <r>
      <rPr>
        <sz val="10"/>
        <rFont val="Arial"/>
        <family val="1"/>
      </rPr>
      <t>&lt; 135 Mbtuh</t>
    </r>
  </si>
  <si>
    <t>Electric Resistence or none</t>
  </si>
  <si>
    <t>All Other</t>
  </si>
  <si>
    <r>
      <rPr>
        <sz val="10"/>
        <rFont val="Cambria"/>
        <family val="1"/>
      </rPr>
      <t xml:space="preserve">≥ </t>
    </r>
    <r>
      <rPr>
        <sz val="10"/>
        <rFont val="Arial"/>
        <family val="2"/>
      </rPr>
      <t xml:space="preserve">135 Mbtuh and </t>
    </r>
    <r>
      <rPr>
        <sz val="10"/>
        <rFont val="Arial"/>
        <family val="1"/>
      </rPr>
      <t>&lt; 240 Mbtuh</t>
    </r>
  </si>
  <si>
    <r>
      <rPr>
        <sz val="10"/>
        <rFont val="Cambria"/>
        <family val="1"/>
      </rPr>
      <t xml:space="preserve">≥ </t>
    </r>
    <r>
      <rPr>
        <sz val="10"/>
        <rFont val="Arial"/>
        <family val="2"/>
      </rPr>
      <t xml:space="preserve">240 Mbtuh and </t>
    </r>
    <r>
      <rPr>
        <sz val="10"/>
        <rFont val="Arial"/>
        <family val="1"/>
      </rPr>
      <t>&lt; 760 Mbtuh</t>
    </r>
  </si>
  <si>
    <r>
      <rPr>
        <sz val="10"/>
        <rFont val="Cambria"/>
        <family val="1"/>
      </rPr>
      <t xml:space="preserve">≥ </t>
    </r>
    <r>
      <rPr>
        <sz val="10"/>
        <rFont val="Arial"/>
        <family val="1"/>
      </rPr>
      <t>760 Mbtuh</t>
    </r>
  </si>
  <si>
    <t>`</t>
  </si>
  <si>
    <t>Table 6.8.1-2 Electrically Operated Unitary Heat Pumps - Minimum Efficiency Requirements</t>
  </si>
  <si>
    <t>Air-Cooled (cooling mode)</t>
  </si>
  <si>
    <t>Another option to consider... Convert to EER first, then input EER only in formula</t>
  </si>
  <si>
    <t>Step #1:</t>
  </si>
  <si>
    <t>=</t>
  </si>
  <si>
    <r>
      <t>EER</t>
    </r>
    <r>
      <rPr>
        <vertAlign val="subscript"/>
        <sz val="14"/>
        <color theme="1"/>
        <rFont val="Calibri"/>
        <family val="2"/>
        <scheme val="minor"/>
      </rPr>
      <t>new</t>
    </r>
  </si>
  <si>
    <t>https://nee.sharepoint.com/:x:/r/teams/EXT_EXTDSMSProjectTeamsChannel/_layouts/15/Doc.aspx?sourcedoc=%7BA7941B36-3EC4-4E18-B673-C26F641D505C%7D&amp;file=Business%20HVAC%20DX%20Calculation%20R4-07312023.xlsx&amp;action=default&amp;mobileredirect=true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</si>
</sst>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_)"/>
    <numFmt numFmtId="166" formatCode="0.0"/>
    <numFmt numFmtId="167" formatCode="0.000"/>
    <numFmt numFmtId="168" formatCode="_(* #,##0_);_(* \(#,##0\);_(* &quot;-&quot;??_);_(@_)"/>
    <numFmt numFmtId="169" formatCode="0.0%"/>
    <numFmt numFmtId="170" formatCode="_(&quot;$&quot;* #,##0_);_(&quot;$&quot;* \(#,##0\);_(&quot;$&quot;* &quot;-&quot;??_);_(@_)"/>
    <numFmt numFmtId="171" formatCode="_(* #,##0.000_);_(* \(#,##0.000\);_(* &quot;-&quot;??_);_(@_)"/>
    <numFmt numFmtId="172" formatCode="#,##0.000_);\(#,##0.000\)"/>
    <numFmt numFmtId="173" formatCode="#,##0.0000_);\(#,##0.0000\)"/>
    <numFmt numFmtId="174" formatCode="0.000000000"/>
    <numFmt numFmtId="175" formatCode="0.000000"/>
    <numFmt numFmtId="176" formatCode="0.000000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6"/>
      <name val="Times New Roman"/>
      <family val="1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4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0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sz val="11"/>
      <color rgb="FFC00000"/>
      <name val="Calibri"/>
      <family val="2"/>
      <scheme val="minor"/>
    </font>
    <font>
      <sz val="10"/>
      <name val="Arial"/>
      <family val="1"/>
    </font>
    <font>
      <sz val="10"/>
      <name val="Cambria"/>
      <family val="1"/>
    </font>
    <font>
      <b/>
      <i/>
      <sz val="11"/>
      <name val="Arial"/>
      <family val="2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8"/>
      <color rgb="FFFFFFFF"/>
      <name val="Cambria"/>
      <family val="1"/>
    </font>
    <font>
      <b/>
      <sz val="11"/>
      <color rgb="FFFF0000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rgb="FF000000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u/>
      <sz val="10"/>
      <color rgb="FF0070C0"/>
      <name val="Arial"/>
      <family val="2"/>
    </font>
    <font>
      <sz val="14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6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 style="double">
        <color indexed="64"/>
      </right>
      <top style="medium">
        <color indexed="64"/>
      </top>
      <bottom/>
      <diagonal/>
    </border>
    <border>
      <left style="medium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Dashed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Fill="0" applyBorder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 applyFill="0" applyBorder="0" applyProtection="0"/>
    <xf numFmtId="43" fontId="8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6" fillId="3" borderId="39" applyNumberFormat="0" applyFont="0" applyAlignment="0" applyProtection="0"/>
    <xf numFmtId="0" fontId="25" fillId="0" borderId="0"/>
    <xf numFmtId="0" fontId="2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 applyFill="0" applyBorder="0" applyProtection="0"/>
    <xf numFmtId="0" fontId="8" fillId="0" borderId="0" applyFill="0" applyBorder="0" applyProtection="0"/>
    <xf numFmtId="0" fontId="6" fillId="3" borderId="39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3" fillId="5" borderId="42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</cellStyleXfs>
  <cellXfs count="281">
    <xf numFmtId="0" fontId="0" fillId="0" borderId="0" xfId="0"/>
    <xf numFmtId="0" fontId="11" fillId="0" borderId="0" xfId="5" applyFont="1"/>
    <xf numFmtId="0" fontId="19" fillId="0" borderId="0" xfId="5" applyFont="1"/>
    <xf numFmtId="0" fontId="8" fillId="0" borderId="0" xfId="5"/>
    <xf numFmtId="0" fontId="15" fillId="0" borderId="0" xfId="5" applyFont="1" applyAlignment="1">
      <alignment horizontal="center"/>
    </xf>
    <xf numFmtId="0" fontId="8" fillId="0" borderId="0" xfId="5" applyAlignment="1">
      <alignment horizontal="center"/>
    </xf>
    <xf numFmtId="166" fontId="8" fillId="0" borderId="0" xfId="5" applyNumberFormat="1"/>
    <xf numFmtId="167" fontId="8" fillId="2" borderId="0" xfId="5" applyNumberFormat="1" applyFill="1"/>
    <xf numFmtId="0" fontId="18" fillId="0" borderId="0" xfId="5" applyFont="1"/>
    <xf numFmtId="0" fontId="43" fillId="0" borderId="0" xfId="5" applyFont="1"/>
    <xf numFmtId="167" fontId="8" fillId="0" borderId="0" xfId="5" applyNumberFormat="1"/>
    <xf numFmtId="166" fontId="45" fillId="0" borderId="0" xfId="5" applyNumberFormat="1" applyFont="1"/>
    <xf numFmtId="0" fontId="46" fillId="4" borderId="52" xfId="41" applyFont="1" applyFill="1" applyBorder="1"/>
    <xf numFmtId="0" fontId="36" fillId="4" borderId="10" xfId="41" applyFont="1" applyFill="1" applyBorder="1"/>
    <xf numFmtId="0" fontId="2" fillId="4" borderId="10" xfId="41" applyFill="1" applyBorder="1"/>
    <xf numFmtId="0" fontId="2" fillId="4" borderId="21" xfId="41" applyFill="1" applyBorder="1"/>
    <xf numFmtId="0" fontId="36" fillId="4" borderId="36" xfId="41" applyFont="1" applyFill="1" applyBorder="1" applyAlignment="1">
      <alignment horizontal="right"/>
    </xf>
    <xf numFmtId="0" fontId="2" fillId="4" borderId="0" xfId="41" applyFill="1" applyAlignment="1">
      <alignment horizontal="center"/>
    </xf>
    <xf numFmtId="0" fontId="36" fillId="4" borderId="0" xfId="41" applyFont="1" applyFill="1"/>
    <xf numFmtId="0" fontId="2" fillId="4" borderId="3" xfId="41" applyFill="1" applyBorder="1"/>
    <xf numFmtId="0" fontId="2" fillId="4" borderId="53" xfId="41" applyFill="1" applyBorder="1"/>
    <xf numFmtId="0" fontId="2" fillId="4" borderId="8" xfId="41" applyFill="1" applyBorder="1"/>
    <xf numFmtId="0" fontId="2" fillId="4" borderId="33" xfId="41" applyFill="1" applyBorder="1"/>
    <xf numFmtId="175" fontId="8" fillId="0" borderId="0" xfId="5" applyNumberFormat="1"/>
    <xf numFmtId="175" fontId="7" fillId="2" borderId="0" xfId="5" applyNumberFormat="1" applyFont="1" applyFill="1"/>
    <xf numFmtId="175" fontId="8" fillId="2" borderId="0" xfId="5" applyNumberFormat="1" applyFill="1"/>
    <xf numFmtId="0" fontId="15" fillId="0" borderId="0" xfId="5" applyFont="1" applyAlignment="1">
      <alignment horizontal="center" wrapText="1"/>
    </xf>
    <xf numFmtId="0" fontId="40" fillId="0" borderId="0" xfId="40"/>
    <xf numFmtId="0" fontId="3" fillId="7" borderId="0" xfId="36" applyFill="1"/>
    <xf numFmtId="0" fontId="0" fillId="7" borderId="0" xfId="0" applyFill="1"/>
    <xf numFmtId="0" fontId="1" fillId="7" borderId="0" xfId="36" applyFont="1" applyFill="1" applyAlignment="1">
      <alignment horizontal="right"/>
    </xf>
    <xf numFmtId="0" fontId="36" fillId="7" borderId="0" xfId="0" applyFont="1" applyFill="1" applyAlignment="1">
      <alignment vertical="center"/>
    </xf>
    <xf numFmtId="0" fontId="3" fillId="7" borderId="0" xfId="36" applyFill="1" applyAlignment="1">
      <alignment horizontal="right"/>
    </xf>
    <xf numFmtId="0" fontId="7" fillId="7" borderId="0" xfId="0" applyFont="1" applyFill="1"/>
    <xf numFmtId="0" fontId="8" fillId="7" borderId="0" xfId="0" applyFont="1" applyFill="1"/>
    <xf numFmtId="0" fontId="34" fillId="7" borderId="0" xfId="36" applyFont="1" applyFill="1"/>
    <xf numFmtId="0" fontId="1" fillId="7" borderId="0" xfId="36" applyFont="1" applyFill="1"/>
    <xf numFmtId="0" fontId="31" fillId="7" borderId="54" xfId="36" applyFont="1" applyFill="1" applyBorder="1" applyAlignment="1">
      <alignment horizontal="right"/>
    </xf>
    <xf numFmtId="43" fontId="42" fillId="7" borderId="0" xfId="38" applyFont="1" applyFill="1" applyBorder="1" applyAlignment="1">
      <alignment horizontal="right"/>
    </xf>
    <xf numFmtId="168" fontId="42" fillId="7" borderId="0" xfId="38" applyNumberFormat="1" applyFont="1" applyFill="1" applyBorder="1" applyAlignment="1">
      <alignment horizontal="right"/>
    </xf>
    <xf numFmtId="0" fontId="30" fillId="7" borderId="0" xfId="36" quotePrefix="1" applyFont="1" applyFill="1"/>
    <xf numFmtId="0" fontId="0" fillId="7" borderId="0" xfId="0" applyFill="1" applyBorder="1" applyAlignment="1">
      <alignment horizontal="center"/>
    </xf>
    <xf numFmtId="0" fontId="29" fillId="7" borderId="0" xfId="0" applyFont="1" applyFill="1"/>
    <xf numFmtId="166" fontId="31" fillId="7" borderId="0" xfId="36" applyNumberFormat="1" applyFont="1" applyFill="1"/>
    <xf numFmtId="0" fontId="30" fillId="7" borderId="0" xfId="36" applyFont="1" applyFill="1"/>
    <xf numFmtId="166" fontId="31" fillId="7" borderId="0" xfId="36" applyNumberFormat="1" applyFont="1" applyFill="1" applyAlignment="1">
      <alignment horizontal="right"/>
    </xf>
    <xf numFmtId="0" fontId="41" fillId="7" borderId="0" xfId="0" applyFont="1" applyFill="1" applyBorder="1" applyAlignment="1">
      <alignment horizontal="center"/>
    </xf>
    <xf numFmtId="0" fontId="3" fillId="7" borderId="0" xfId="36" applyFill="1" applyAlignment="1">
      <alignment wrapText="1"/>
    </xf>
    <xf numFmtId="0" fontId="41" fillId="7" borderId="55" xfId="0" applyFont="1" applyFill="1" applyBorder="1" applyAlignment="1">
      <alignment horizontal="center"/>
    </xf>
    <xf numFmtId="167" fontId="3" fillId="7" borderId="0" xfId="36" applyNumberFormat="1" applyFill="1"/>
    <xf numFmtId="167" fontId="1" fillId="7" borderId="0" xfId="36" applyNumberFormat="1" applyFont="1" applyFill="1"/>
    <xf numFmtId="43" fontId="1" fillId="7" borderId="0" xfId="1" applyFont="1" applyFill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horizontal="center"/>
      <protection locked="0"/>
    </xf>
    <xf numFmtId="0" fontId="10" fillId="7" borderId="0" xfId="0" applyFont="1" applyFill="1" applyAlignment="1" applyProtection="1">
      <alignment horizontal="right"/>
      <protection locked="0"/>
    </xf>
    <xf numFmtId="9" fontId="10" fillId="7" borderId="0" xfId="3" applyFont="1" applyFill="1" applyAlignment="1" applyProtection="1">
      <alignment horizontal="center"/>
      <protection locked="0"/>
    </xf>
    <xf numFmtId="0" fontId="8" fillId="7" borderId="15" xfId="0" applyFont="1" applyFill="1" applyBorder="1" applyAlignment="1" applyProtection="1">
      <alignment horizontal="right"/>
      <protection locked="0"/>
    </xf>
    <xf numFmtId="0" fontId="8" fillId="7" borderId="16" xfId="0" applyFont="1" applyFill="1" applyBorder="1" applyProtection="1">
      <protection locked="0"/>
    </xf>
    <xf numFmtId="0" fontId="8" fillId="7" borderId="51" xfId="0" applyFont="1" applyFill="1" applyBorder="1" applyAlignment="1" applyProtection="1">
      <alignment horizontal="center"/>
      <protection locked="0"/>
    </xf>
    <xf numFmtId="0" fontId="8" fillId="7" borderId="41" xfId="0" applyFont="1" applyFill="1" applyBorder="1" applyAlignment="1" applyProtection="1">
      <alignment horizontal="center"/>
      <protection locked="0"/>
    </xf>
    <xf numFmtId="0" fontId="8" fillId="7" borderId="17" xfId="0" applyFont="1" applyFill="1" applyBorder="1" applyAlignment="1" applyProtection="1">
      <alignment horizontal="left"/>
      <protection locked="0"/>
    </xf>
    <xf numFmtId="0" fontId="8" fillId="7" borderId="41" xfId="0" applyFont="1" applyFill="1" applyBorder="1" applyAlignment="1" applyProtection="1">
      <alignment horizontal="left"/>
      <protection locked="0"/>
    </xf>
    <xf numFmtId="0" fontId="8" fillId="7" borderId="51" xfId="0" applyFont="1" applyFill="1" applyBorder="1" applyProtection="1">
      <protection locked="0"/>
    </xf>
    <xf numFmtId="0" fontId="8" fillId="7" borderId="41" xfId="0" applyFont="1" applyFill="1" applyBorder="1" applyProtection="1">
      <protection locked="0"/>
    </xf>
    <xf numFmtId="9" fontId="8" fillId="7" borderId="51" xfId="3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8" fillId="7" borderId="18" xfId="0" applyFont="1" applyFill="1" applyBorder="1" applyAlignment="1" applyProtection="1">
      <alignment horizontal="right"/>
      <protection locked="0"/>
    </xf>
    <xf numFmtId="0" fontId="8" fillId="7" borderId="7" xfId="0" applyFont="1" applyFill="1" applyBorder="1" applyProtection="1">
      <protection locked="0"/>
    </xf>
    <xf numFmtId="9" fontId="22" fillId="7" borderId="0" xfId="3" applyFont="1" applyFill="1" applyBorder="1" applyAlignment="1" applyProtection="1">
      <alignment horizontal="center"/>
      <protection locked="0"/>
    </xf>
    <xf numFmtId="0" fontId="8" fillId="7" borderId="54" xfId="0" applyFont="1" applyFill="1" applyBorder="1" applyProtection="1">
      <protection locked="0"/>
    </xf>
    <xf numFmtId="0" fontId="8" fillId="7" borderId="0" xfId="0" applyFont="1" applyFill="1" applyBorder="1" applyProtection="1">
      <protection locked="0"/>
    </xf>
    <xf numFmtId="0" fontId="8" fillId="7" borderId="11" xfId="0" applyFont="1" applyFill="1" applyBorder="1" applyAlignment="1" applyProtection="1">
      <alignment horizontal="center"/>
      <protection locked="0"/>
    </xf>
    <xf numFmtId="0" fontId="8" fillId="7" borderId="54" xfId="0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center"/>
      <protection locked="0"/>
    </xf>
    <xf numFmtId="6" fontId="17" fillId="7" borderId="18" xfId="0" applyNumberFormat="1" applyFont="1" applyFill="1" applyBorder="1" applyAlignment="1" applyProtection="1">
      <alignment horizontal="right"/>
      <protection locked="0"/>
    </xf>
    <xf numFmtId="169" fontId="8" fillId="7" borderId="7" xfId="3" applyNumberFormat="1" applyFont="1" applyFill="1" applyBorder="1" applyAlignment="1" applyProtection="1">
      <alignment horizontal="center"/>
      <protection locked="0"/>
    </xf>
    <xf numFmtId="2" fontId="8" fillId="7" borderId="13" xfId="0" applyNumberFormat="1" applyFont="1" applyFill="1" applyBorder="1" applyAlignment="1" applyProtection="1">
      <alignment horizontal="center"/>
      <protection locked="0"/>
    </xf>
    <xf numFmtId="2" fontId="8" fillId="7" borderId="6" xfId="0" applyNumberFormat="1" applyFont="1" applyFill="1" applyBorder="1" applyAlignment="1" applyProtection="1">
      <alignment horizontal="center"/>
      <protection locked="0"/>
    </xf>
    <xf numFmtId="166" fontId="8" fillId="7" borderId="14" xfId="0" applyNumberFormat="1" applyFont="1" applyFill="1" applyBorder="1" applyAlignment="1" applyProtection="1">
      <alignment horizontal="center"/>
      <protection locked="0"/>
    </xf>
    <xf numFmtId="166" fontId="8" fillId="7" borderId="13" xfId="0" applyNumberFormat="1" applyFont="1" applyFill="1" applyBorder="1" applyAlignment="1" applyProtection="1">
      <alignment horizontal="center"/>
      <protection locked="0"/>
    </xf>
    <xf numFmtId="166" fontId="8" fillId="7" borderId="6" xfId="0" applyNumberFormat="1" applyFont="1" applyFill="1" applyBorder="1" applyAlignment="1" applyProtection="1">
      <alignment horizontal="center"/>
      <protection locked="0"/>
    </xf>
    <xf numFmtId="0" fontId="8" fillId="7" borderId="14" xfId="0" applyFont="1" applyFill="1" applyBorder="1" applyAlignment="1" applyProtection="1">
      <alignment horizontal="center"/>
      <protection locked="0"/>
    </xf>
    <xf numFmtId="166" fontId="29" fillId="7" borderId="13" xfId="0" applyNumberFormat="1" applyFont="1" applyFill="1" applyBorder="1" applyAlignment="1" applyProtection="1">
      <alignment horizontal="center"/>
      <protection locked="0"/>
    </xf>
    <xf numFmtId="166" fontId="29" fillId="7" borderId="6" xfId="0" applyNumberFormat="1" applyFont="1" applyFill="1" applyBorder="1" applyAlignment="1" applyProtection="1">
      <alignment horizontal="center"/>
      <protection locked="0"/>
    </xf>
    <xf numFmtId="166" fontId="29" fillId="7" borderId="14" xfId="0" applyNumberFormat="1" applyFont="1" applyFill="1" applyBorder="1" applyAlignment="1" applyProtection="1">
      <alignment horizontal="center"/>
      <protection locked="0"/>
    </xf>
    <xf numFmtId="174" fontId="8" fillId="7" borderId="0" xfId="0" applyNumberFormat="1" applyFont="1" applyFill="1"/>
    <xf numFmtId="0" fontId="8" fillId="7" borderId="1" xfId="0" applyFont="1" applyFill="1" applyBorder="1" applyProtection="1">
      <protection locked="0"/>
    </xf>
    <xf numFmtId="0" fontId="12" fillId="7" borderId="0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Protection="1"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Protection="1">
      <protection locked="0"/>
    </xf>
    <xf numFmtId="0" fontId="7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48" xfId="0" applyFont="1" applyFill="1" applyBorder="1" applyAlignment="1" applyProtection="1">
      <alignment horizontal="center" vertical="center"/>
      <protection locked="0"/>
    </xf>
    <xf numFmtId="0" fontId="7" fillId="7" borderId="43" xfId="0" applyFont="1" applyFill="1" applyBorder="1" applyAlignment="1" applyProtection="1">
      <alignment horizontal="centerContinuous"/>
      <protection locked="0"/>
    </xf>
    <xf numFmtId="0" fontId="7" fillId="7" borderId="43" xfId="0" applyFont="1" applyFill="1" applyBorder="1" applyAlignment="1" applyProtection="1">
      <alignment horizontal="center" vertical="center" wrapText="1"/>
      <protection locked="0"/>
    </xf>
    <xf numFmtId="0" fontId="8" fillId="7" borderId="4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 applyProtection="1">
      <alignment horizontal="center"/>
      <protection locked="0"/>
    </xf>
    <xf numFmtId="0" fontId="7" fillId="7" borderId="45" xfId="0" applyFont="1" applyFill="1" applyBorder="1" applyAlignment="1" applyProtection="1">
      <alignment horizontal="centerContinuous"/>
      <protection locked="0"/>
    </xf>
    <xf numFmtId="0" fontId="8" fillId="7" borderId="0" xfId="0" applyFont="1" applyFill="1" applyAlignment="1">
      <alignment horizontal="center"/>
    </xf>
    <xf numFmtId="0" fontId="7" fillId="7" borderId="9" xfId="0" applyFont="1" applyFill="1" applyBorder="1" applyAlignment="1" applyProtection="1">
      <alignment horizontal="center"/>
      <protection locked="0"/>
    </xf>
    <xf numFmtId="0" fontId="7" fillId="7" borderId="44" xfId="0" applyFont="1" applyFill="1" applyBorder="1" applyAlignment="1" applyProtection="1">
      <alignment horizontal="left"/>
      <protection locked="0"/>
    </xf>
    <xf numFmtId="39" fontId="7" fillId="7" borderId="27" xfId="1" quotePrefix="1" applyNumberFormat="1" applyFont="1" applyFill="1" applyBorder="1" applyAlignment="1" applyProtection="1">
      <alignment horizontal="center"/>
      <protection locked="0"/>
    </xf>
    <xf numFmtId="39" fontId="7" fillId="7" borderId="28" xfId="1" quotePrefix="1" applyNumberFormat="1" applyFont="1" applyFill="1" applyBorder="1" applyAlignment="1" applyProtection="1">
      <alignment horizontal="center"/>
      <protection locked="0"/>
    </xf>
    <xf numFmtId="39" fontId="7" fillId="7" borderId="45" xfId="1" quotePrefix="1" applyNumberFormat="1" applyFont="1" applyFill="1" applyBorder="1" applyAlignment="1" applyProtection="1">
      <alignment horizontal="center"/>
      <protection locked="0"/>
    </xf>
    <xf numFmtId="39" fontId="13" fillId="7" borderId="50" xfId="1" applyNumberFormat="1" applyFont="1" applyFill="1" applyBorder="1" applyAlignment="1" applyProtection="1">
      <alignment horizontal="center"/>
      <protection locked="0"/>
    </xf>
    <xf numFmtId="39" fontId="13" fillId="7" borderId="45" xfId="1" applyNumberFormat="1" applyFont="1" applyFill="1" applyBorder="1" applyAlignment="1" applyProtection="1">
      <alignment horizontal="center"/>
      <protection locked="0"/>
    </xf>
    <xf numFmtId="170" fontId="13" fillId="7" borderId="29" xfId="2" applyNumberFormat="1" applyFont="1" applyFill="1" applyBorder="1" applyAlignment="1" applyProtection="1">
      <alignment horizontal="center"/>
      <protection locked="0"/>
    </xf>
    <xf numFmtId="39" fontId="13" fillId="7" borderId="44" xfId="1" applyNumberFormat="1" applyFont="1" applyFill="1" applyBorder="1" applyAlignment="1" applyProtection="1">
      <alignment horizontal="center"/>
      <protection locked="0"/>
    </xf>
    <xf numFmtId="39" fontId="13" fillId="7" borderId="29" xfId="1" applyNumberFormat="1" applyFont="1" applyFill="1" applyBorder="1" applyAlignment="1" applyProtection="1">
      <alignment horizontal="center"/>
      <protection locked="0"/>
    </xf>
    <xf numFmtId="37" fontId="13" fillId="7" borderId="44" xfId="1" applyNumberFormat="1" applyFont="1" applyFill="1" applyBorder="1" applyAlignment="1" applyProtection="1">
      <alignment horizontal="center"/>
      <protection locked="0"/>
    </xf>
    <xf numFmtId="37" fontId="13" fillId="7" borderId="45" xfId="1" applyNumberFormat="1" applyFont="1" applyFill="1" applyBorder="1" applyAlignment="1" applyProtection="1">
      <alignment horizontal="center"/>
      <protection locked="0"/>
    </xf>
    <xf numFmtId="37" fontId="13" fillId="7" borderId="29" xfId="1" applyNumberFormat="1" applyFont="1" applyFill="1" applyBorder="1" applyAlignment="1" applyProtection="1">
      <alignment horizontal="center"/>
      <protection locked="0"/>
    </xf>
    <xf numFmtId="170" fontId="13" fillId="7" borderId="44" xfId="2" applyNumberFormat="1" applyFont="1" applyFill="1" applyBorder="1" applyAlignment="1" applyProtection="1">
      <alignment horizontal="center"/>
      <protection locked="0"/>
    </xf>
    <xf numFmtId="170" fontId="13" fillId="7" borderId="45" xfId="2" applyNumberFormat="1" applyFont="1" applyFill="1" applyBorder="1" applyAlignment="1" applyProtection="1">
      <alignment horizontal="center"/>
      <protection locked="0"/>
    </xf>
    <xf numFmtId="0" fontId="7" fillId="7" borderId="5" xfId="0" applyFont="1" applyFill="1" applyBorder="1" applyAlignment="1" applyProtection="1">
      <alignment horizontal="center"/>
      <protection locked="0"/>
    </xf>
    <xf numFmtId="39" fontId="7" fillId="7" borderId="30" xfId="1" applyNumberFormat="1" applyFont="1" applyFill="1" applyBorder="1" applyAlignment="1" applyProtection="1">
      <alignment horizontal="center"/>
      <protection locked="0"/>
    </xf>
    <xf numFmtId="39" fontId="7" fillId="7" borderId="31" xfId="1" applyNumberFormat="1" applyFont="1" applyFill="1" applyBorder="1" applyAlignment="1" applyProtection="1">
      <alignment horizontal="center"/>
      <protection locked="0"/>
    </xf>
    <xf numFmtId="39" fontId="7" fillId="7" borderId="0" xfId="1" applyNumberFormat="1" applyFont="1" applyFill="1" applyBorder="1" applyAlignment="1" applyProtection="1">
      <alignment horizontal="center"/>
      <protection locked="0"/>
    </xf>
    <xf numFmtId="39" fontId="13" fillId="7" borderId="5" xfId="1" applyNumberFormat="1" applyFont="1" applyFill="1" applyBorder="1" applyAlignment="1" applyProtection="1">
      <alignment horizontal="center"/>
      <protection locked="0"/>
    </xf>
    <xf numFmtId="39" fontId="13" fillId="7" borderId="0" xfId="1" applyNumberFormat="1" applyFont="1" applyFill="1" applyBorder="1" applyAlignment="1" applyProtection="1">
      <alignment horizontal="center"/>
      <protection locked="0"/>
    </xf>
    <xf numFmtId="170" fontId="13" fillId="7" borderId="24" xfId="2" applyNumberFormat="1" applyFont="1" applyFill="1" applyBorder="1" applyAlignment="1" applyProtection="1">
      <alignment horizontal="center"/>
      <protection locked="0"/>
    </xf>
    <xf numFmtId="39" fontId="13" fillId="7" borderId="24" xfId="1" applyNumberFormat="1" applyFont="1" applyFill="1" applyBorder="1" applyAlignment="1" applyProtection="1">
      <alignment horizontal="center"/>
      <protection locked="0"/>
    </xf>
    <xf numFmtId="37" fontId="13" fillId="7" borderId="5" xfId="1" applyNumberFormat="1" applyFont="1" applyFill="1" applyBorder="1" applyAlignment="1" applyProtection="1">
      <alignment horizontal="center"/>
      <protection locked="0"/>
    </xf>
    <xf numFmtId="37" fontId="13" fillId="7" borderId="0" xfId="1" applyNumberFormat="1" applyFont="1" applyFill="1" applyBorder="1" applyAlignment="1" applyProtection="1">
      <alignment horizontal="center"/>
      <protection locked="0"/>
    </xf>
    <xf numFmtId="37" fontId="13" fillId="7" borderId="24" xfId="1" applyNumberFormat="1" applyFont="1" applyFill="1" applyBorder="1" applyAlignment="1" applyProtection="1">
      <alignment horizontal="center"/>
      <protection locked="0"/>
    </xf>
    <xf numFmtId="170" fontId="13" fillId="7" borderId="5" xfId="2" applyNumberFormat="1" applyFont="1" applyFill="1" applyBorder="1" applyAlignment="1" applyProtection="1">
      <alignment horizontal="center"/>
      <protection locked="0"/>
    </xf>
    <xf numFmtId="170" fontId="13" fillId="7" borderId="0" xfId="2" applyNumberFormat="1" applyFont="1" applyFill="1" applyBorder="1" applyAlignment="1" applyProtection="1">
      <alignment horizontal="center"/>
      <protection locked="0"/>
    </xf>
    <xf numFmtId="0" fontId="7" fillId="7" borderId="32" xfId="0" quotePrefix="1" applyFont="1" applyFill="1" applyBorder="1" applyAlignment="1" applyProtection="1">
      <alignment horizontal="center"/>
      <protection locked="0"/>
    </xf>
    <xf numFmtId="39" fontId="7" fillId="7" borderId="33" xfId="1" applyNumberFormat="1" applyFont="1" applyFill="1" applyBorder="1" applyAlignment="1" applyProtection="1">
      <alignment horizontal="center"/>
      <protection locked="0"/>
    </xf>
    <xf numFmtId="39" fontId="7" fillId="7" borderId="8" xfId="1" applyNumberFormat="1" applyFont="1" applyFill="1" applyBorder="1" applyAlignment="1" applyProtection="1">
      <alignment horizontal="center"/>
      <protection locked="0"/>
    </xf>
    <xf numFmtId="39" fontId="13" fillId="7" borderId="20" xfId="1" quotePrefix="1" applyNumberFormat="1" applyFont="1" applyFill="1" applyBorder="1" applyAlignment="1" applyProtection="1">
      <alignment horizontal="center"/>
      <protection locked="0"/>
    </xf>
    <xf numFmtId="39" fontId="13" fillId="7" borderId="8" xfId="1" quotePrefix="1" applyNumberFormat="1" applyFont="1" applyFill="1" applyBorder="1" applyAlignment="1" applyProtection="1">
      <alignment horizontal="center"/>
      <protection locked="0"/>
    </xf>
    <xf numFmtId="170" fontId="13" fillId="7" borderId="26" xfId="2" quotePrefix="1" applyNumberFormat="1" applyFont="1" applyFill="1" applyBorder="1" applyAlignment="1" applyProtection="1">
      <alignment horizontal="center"/>
      <protection locked="0"/>
    </xf>
    <xf numFmtId="39" fontId="13" fillId="7" borderId="26" xfId="1" quotePrefix="1" applyNumberFormat="1" applyFont="1" applyFill="1" applyBorder="1" applyAlignment="1" applyProtection="1">
      <alignment horizontal="center"/>
      <protection locked="0"/>
    </xf>
    <xf numFmtId="37" fontId="13" fillId="7" borderId="20" xfId="1" quotePrefix="1" applyNumberFormat="1" applyFont="1" applyFill="1" applyBorder="1" applyAlignment="1" applyProtection="1">
      <alignment horizontal="center"/>
      <protection locked="0"/>
    </xf>
    <xf numFmtId="37" fontId="13" fillId="7" borderId="26" xfId="1" quotePrefix="1" applyNumberFormat="1" applyFont="1" applyFill="1" applyBorder="1" applyAlignment="1" applyProtection="1">
      <alignment horizontal="center"/>
      <protection locked="0"/>
    </xf>
    <xf numFmtId="170" fontId="13" fillId="7" borderId="20" xfId="2" quotePrefix="1" applyNumberFormat="1" applyFont="1" applyFill="1" applyBorder="1" applyAlignment="1" applyProtection="1">
      <alignment horizontal="center"/>
      <protection locked="0"/>
    </xf>
    <xf numFmtId="165" fontId="7" fillId="7" borderId="49" xfId="0" applyNumberFormat="1" applyFont="1" applyFill="1" applyBorder="1" applyAlignment="1" applyProtection="1">
      <alignment horizontal="center"/>
      <protection locked="0"/>
    </xf>
    <xf numFmtId="39" fontId="7" fillId="7" borderId="21" xfId="1" applyNumberFormat="1" applyFont="1" applyFill="1" applyBorder="1" applyAlignment="1" applyProtection="1">
      <alignment horizontal="center"/>
      <protection locked="0"/>
    </xf>
    <xf numFmtId="172" fontId="7" fillId="7" borderId="21" xfId="1" applyNumberFormat="1" applyFont="1" applyFill="1" applyBorder="1" applyAlignment="1" applyProtection="1">
      <alignment horizontal="center"/>
      <protection locked="0"/>
    </xf>
    <xf numFmtId="172" fontId="7" fillId="7" borderId="10" xfId="1" applyNumberFormat="1" applyFont="1" applyFill="1" applyBorder="1" applyAlignment="1" applyProtection="1">
      <alignment horizontal="center"/>
      <protection locked="0"/>
    </xf>
    <xf numFmtId="39" fontId="7" fillId="7" borderId="22" xfId="1" quotePrefix="1" applyNumberFormat="1" applyFont="1" applyFill="1" applyBorder="1" applyAlignment="1" applyProtection="1">
      <alignment horizontal="center"/>
      <protection locked="0"/>
    </xf>
    <xf numFmtId="37" fontId="28" fillId="7" borderId="10" xfId="1" quotePrefix="1" applyNumberFormat="1" applyFont="1" applyFill="1" applyBorder="1" applyAlignment="1" applyProtection="1">
      <alignment horizontal="center"/>
      <protection locked="0"/>
    </xf>
    <xf numFmtId="164" fontId="7" fillId="7" borderId="23" xfId="2" quotePrefix="1" applyNumberFormat="1" applyFont="1" applyFill="1" applyBorder="1" applyAlignment="1" applyProtection="1">
      <alignment horizontal="center"/>
      <protection locked="0"/>
    </xf>
    <xf numFmtId="165" fontId="7" fillId="7" borderId="2" xfId="0" applyNumberFormat="1" applyFont="1" applyFill="1" applyBorder="1" applyAlignment="1" applyProtection="1">
      <alignment horizontal="center"/>
      <protection locked="0"/>
    </xf>
    <xf numFmtId="39" fontId="7" fillId="7" borderId="3" xfId="1" applyNumberFormat="1" applyFont="1" applyFill="1" applyBorder="1" applyAlignment="1" applyProtection="1">
      <alignment horizontal="center"/>
      <protection locked="0"/>
    </xf>
    <xf numFmtId="172" fontId="7" fillId="7" borderId="36" xfId="1" applyNumberFormat="1" applyFont="1" applyFill="1" applyBorder="1" applyAlignment="1" applyProtection="1">
      <alignment horizontal="center"/>
      <protection locked="0"/>
    </xf>
    <xf numFmtId="172" fontId="7" fillId="7" borderId="0" xfId="1" applyNumberFormat="1" applyFont="1" applyFill="1" applyBorder="1" applyAlignment="1" applyProtection="1">
      <alignment horizontal="center"/>
      <protection locked="0"/>
    </xf>
    <xf numFmtId="39" fontId="7" fillId="7" borderId="25" xfId="1" quotePrefix="1" applyNumberFormat="1" applyFont="1" applyFill="1" applyBorder="1" applyAlignment="1" applyProtection="1">
      <alignment horizontal="center"/>
      <protection locked="0"/>
    </xf>
    <xf numFmtId="37" fontId="28" fillId="7" borderId="0" xfId="1" quotePrefix="1" applyNumberFormat="1" applyFont="1" applyFill="1" applyBorder="1" applyAlignment="1" applyProtection="1">
      <alignment horizontal="center"/>
      <protection locked="0"/>
    </xf>
    <xf numFmtId="164" fontId="7" fillId="7" borderId="24" xfId="2" quotePrefix="1" applyNumberFormat="1" applyFont="1" applyFill="1" applyBorder="1" applyAlignment="1" applyProtection="1">
      <alignment horizontal="center"/>
      <protection locked="0"/>
    </xf>
    <xf numFmtId="172" fontId="7" fillId="7" borderId="3" xfId="1" applyNumberFormat="1" applyFont="1" applyFill="1" applyBorder="1" applyAlignment="1" applyProtection="1">
      <alignment horizontal="center"/>
      <protection locked="0"/>
    </xf>
    <xf numFmtId="39" fontId="7" fillId="7" borderId="25" xfId="1" applyNumberFormat="1" applyFont="1" applyFill="1" applyBorder="1" applyAlignment="1" applyProtection="1">
      <alignment horizontal="center"/>
      <protection locked="0"/>
    </xf>
    <xf numFmtId="37" fontId="28" fillId="7" borderId="0" xfId="1" applyNumberFormat="1" applyFont="1" applyFill="1" applyBorder="1" applyAlignment="1" applyProtection="1">
      <alignment horizontal="center"/>
      <protection locked="0"/>
    </xf>
    <xf numFmtId="173" fontId="7" fillId="7" borderId="24" xfId="1" applyNumberFormat="1" applyFont="1" applyFill="1" applyBorder="1" applyAlignment="1" applyProtection="1">
      <alignment horizontal="center"/>
      <protection locked="0"/>
    </xf>
    <xf numFmtId="167" fontId="7" fillId="7" borderId="0" xfId="0" applyNumberFormat="1" applyFont="1" applyFill="1" applyAlignment="1" applyProtection="1">
      <alignment horizontal="center"/>
      <protection locked="0"/>
    </xf>
    <xf numFmtId="167" fontId="0" fillId="7" borderId="0" xfId="0" applyNumberFormat="1" applyFill="1" applyAlignment="1">
      <alignment horizontal="center"/>
    </xf>
    <xf numFmtId="2" fontId="8" fillId="7" borderId="0" xfId="0" applyNumberFormat="1" applyFont="1" applyFill="1" applyAlignment="1">
      <alignment horizontal="center"/>
    </xf>
    <xf numFmtId="39" fontId="7" fillId="7" borderId="0" xfId="1" quotePrefix="1" applyNumberFormat="1" applyFont="1" applyFill="1" applyBorder="1" applyAlignment="1" applyProtection="1">
      <alignment horizontal="center"/>
      <protection locked="0"/>
    </xf>
    <xf numFmtId="173" fontId="7" fillId="7" borderId="24" xfId="2" quotePrefix="1" applyNumberFormat="1" applyFont="1" applyFill="1" applyBorder="1" applyAlignment="1" applyProtection="1">
      <alignment horizontal="center"/>
      <protection locked="0"/>
    </xf>
    <xf numFmtId="167" fontId="7" fillId="7" borderId="3" xfId="0" applyNumberFormat="1" applyFont="1" applyFill="1" applyBorder="1" applyAlignment="1" applyProtection="1">
      <alignment horizontal="center"/>
      <protection locked="0"/>
    </xf>
    <xf numFmtId="167" fontId="7" fillId="7" borderId="0" xfId="0" applyNumberFormat="1" applyFont="1" applyFill="1" applyBorder="1" applyAlignment="1" applyProtection="1">
      <alignment horizontal="center"/>
      <protection locked="0"/>
    </xf>
    <xf numFmtId="2" fontId="7" fillId="7" borderId="25" xfId="0" quotePrefix="1" applyNumberFormat="1" applyFont="1" applyFill="1" applyBorder="1" applyAlignment="1" applyProtection="1">
      <alignment horizontal="center"/>
      <protection locked="0"/>
    </xf>
    <xf numFmtId="2" fontId="7" fillId="7" borderId="0" xfId="0" quotePrefix="1" applyNumberFormat="1" applyFont="1" applyFill="1" applyBorder="1" applyAlignment="1" applyProtection="1">
      <alignment horizontal="center"/>
      <protection locked="0"/>
    </xf>
    <xf numFmtId="164" fontId="7" fillId="7" borderId="24" xfId="0" quotePrefix="1" applyNumberFormat="1" applyFont="1" applyFill="1" applyBorder="1" applyAlignment="1" applyProtection="1">
      <alignment horizontal="center"/>
      <protection locked="0"/>
    </xf>
    <xf numFmtId="165" fontId="7" fillId="7" borderId="37" xfId="0" applyNumberFormat="1" applyFont="1" applyFill="1" applyBorder="1" applyAlignment="1" applyProtection="1">
      <alignment horizontal="center"/>
      <protection locked="0"/>
    </xf>
    <xf numFmtId="167" fontId="7" fillId="7" borderId="35" xfId="0" applyNumberFormat="1" applyFont="1" applyFill="1" applyBorder="1" applyAlignment="1" applyProtection="1">
      <alignment horizontal="center"/>
      <protection locked="0"/>
    </xf>
    <xf numFmtId="167" fontId="7" fillId="7" borderId="40" xfId="0" applyNumberFormat="1" applyFont="1" applyFill="1" applyBorder="1" applyAlignment="1" applyProtection="1">
      <alignment horizontal="center"/>
      <protection locked="0"/>
    </xf>
    <xf numFmtId="167" fontId="7" fillId="7" borderId="6" xfId="0" applyNumberFormat="1" applyFont="1" applyFill="1" applyBorder="1" applyAlignment="1" applyProtection="1">
      <alignment horizontal="center"/>
      <protection locked="0"/>
    </xf>
    <xf numFmtId="2" fontId="7" fillId="7" borderId="38" xfId="0" quotePrefix="1" applyNumberFormat="1" applyFont="1" applyFill="1" applyBorder="1" applyAlignment="1" applyProtection="1">
      <alignment horizontal="center"/>
      <protection locked="0"/>
    </xf>
    <xf numFmtId="2" fontId="7" fillId="7" borderId="6" xfId="0" quotePrefix="1" applyNumberFormat="1" applyFont="1" applyFill="1" applyBorder="1" applyAlignment="1" applyProtection="1">
      <alignment horizontal="center"/>
      <protection locked="0"/>
    </xf>
    <xf numFmtId="164" fontId="7" fillId="7" borderId="34" xfId="0" quotePrefix="1" applyNumberFormat="1" applyFont="1" applyFill="1" applyBorder="1" applyAlignment="1" applyProtection="1">
      <alignment horizontal="center"/>
      <protection locked="0"/>
    </xf>
    <xf numFmtId="165" fontId="8" fillId="7" borderId="0" xfId="0" applyNumberFormat="1" applyFont="1" applyFill="1" applyBorder="1" applyAlignment="1" applyProtection="1">
      <alignment horizontal="left"/>
      <protection locked="0"/>
    </xf>
    <xf numFmtId="0" fontId="39" fillId="7" borderId="0" xfId="0" applyFont="1" applyFill="1"/>
    <xf numFmtId="0" fontId="39" fillId="7" borderId="0" xfId="0" applyFont="1" applyFill="1" applyProtection="1">
      <protection locked="0"/>
    </xf>
    <xf numFmtId="0" fontId="38" fillId="7" borderId="0" xfId="0" applyFont="1" applyFill="1" applyProtection="1">
      <protection locked="0"/>
    </xf>
    <xf numFmtId="0" fontId="38" fillId="7" borderId="0" xfId="0" applyFont="1" applyFill="1"/>
    <xf numFmtId="167" fontId="38" fillId="7" borderId="0" xfId="0" applyNumberFormat="1" applyFont="1" applyFill="1"/>
    <xf numFmtId="0" fontId="3" fillId="0" borderId="0" xfId="36"/>
    <xf numFmtId="0" fontId="35" fillId="0" borderId="12" xfId="5" applyFont="1" applyFill="1" applyBorder="1"/>
    <xf numFmtId="0" fontId="49" fillId="8" borderId="0" xfId="0" applyFont="1" applyFill="1" applyBorder="1"/>
    <xf numFmtId="0" fontId="12" fillId="7" borderId="55" xfId="0" applyFont="1" applyFill="1" applyBorder="1" applyProtection="1">
      <protection locked="0"/>
    </xf>
    <xf numFmtId="0" fontId="7" fillId="7" borderId="55" xfId="0" applyFont="1" applyFill="1" applyBorder="1" applyProtection="1">
      <protection locked="0"/>
    </xf>
    <xf numFmtId="39" fontId="7" fillId="7" borderId="55" xfId="1" quotePrefix="1" applyNumberFormat="1" applyFont="1" applyFill="1" applyBorder="1" applyAlignment="1" applyProtection="1">
      <alignment horizontal="center"/>
      <protection locked="0"/>
    </xf>
    <xf numFmtId="167" fontId="8" fillId="2" borderId="55" xfId="5" applyNumberFormat="1" applyFill="1" applyBorder="1"/>
    <xf numFmtId="176" fontId="8" fillId="2" borderId="55" xfId="5" applyNumberFormat="1" applyFill="1" applyBorder="1"/>
    <xf numFmtId="166" fontId="11" fillId="0" borderId="56" xfId="5" applyNumberFormat="1" applyFont="1" applyFill="1" applyBorder="1" applyAlignment="1" applyProtection="1">
      <alignment horizontal="left"/>
      <protection locked="0"/>
    </xf>
    <xf numFmtId="9" fontId="42" fillId="0" borderId="56" xfId="3" applyFont="1" applyFill="1" applyBorder="1"/>
    <xf numFmtId="9" fontId="42" fillId="7" borderId="56" xfId="3" applyFont="1" applyFill="1" applyBorder="1"/>
    <xf numFmtId="166" fontId="14" fillId="0" borderId="56" xfId="5" applyNumberFormat="1" applyFont="1" applyFill="1" applyBorder="1" applyAlignment="1" applyProtection="1">
      <alignment horizontal="left"/>
      <protection locked="0"/>
    </xf>
    <xf numFmtId="9" fontId="35" fillId="0" borderId="56" xfId="3" applyFont="1" applyFill="1" applyBorder="1" applyAlignment="1">
      <alignment horizontal="center"/>
    </xf>
    <xf numFmtId="166" fontId="35" fillId="7" borderId="56" xfId="5" applyNumberFormat="1" applyFont="1" applyFill="1" applyBorder="1" applyAlignment="1">
      <alignment horizontal="center"/>
    </xf>
    <xf numFmtId="0" fontId="34" fillId="0" borderId="56" xfId="36" applyFont="1" applyBorder="1"/>
    <xf numFmtId="166" fontId="42" fillId="0" borderId="56" xfId="5" applyNumberFormat="1" applyFont="1" applyFill="1" applyBorder="1"/>
    <xf numFmtId="166" fontId="42" fillId="7" borderId="56" xfId="5" applyNumberFormat="1" applyFont="1" applyFill="1" applyBorder="1"/>
    <xf numFmtId="0" fontId="42" fillId="0" borderId="56" xfId="5" applyFont="1" applyFill="1" applyBorder="1"/>
    <xf numFmtId="0" fontId="42" fillId="7" borderId="56" xfId="5" applyFont="1" applyFill="1" applyBorder="1"/>
    <xf numFmtId="166" fontId="42" fillId="0" borderId="56" xfId="36" applyNumberFormat="1" applyFont="1" applyBorder="1"/>
    <xf numFmtId="166" fontId="42" fillId="7" borderId="56" xfId="36" applyNumberFormat="1" applyFont="1" applyFill="1" applyBorder="1"/>
    <xf numFmtId="0" fontId="35" fillId="0" borderId="56" xfId="5" applyFont="1" applyFill="1" applyBorder="1" applyProtection="1">
      <protection locked="0"/>
    </xf>
    <xf numFmtId="6" fontId="42" fillId="0" borderId="56" xfId="5" applyNumberFormat="1" applyFont="1" applyFill="1" applyBorder="1" applyProtection="1">
      <protection locked="0"/>
    </xf>
    <xf numFmtId="6" fontId="42" fillId="7" borderId="56" xfId="5" applyNumberFormat="1" applyFont="1" applyFill="1" applyBorder="1" applyProtection="1">
      <protection locked="0"/>
    </xf>
    <xf numFmtId="167" fontId="42" fillId="0" borderId="56" xfId="5" applyNumberFormat="1" applyFont="1" applyFill="1" applyBorder="1" applyProtection="1">
      <protection locked="0"/>
    </xf>
    <xf numFmtId="167" fontId="42" fillId="7" borderId="56" xfId="5" applyNumberFormat="1" applyFont="1" applyFill="1" applyBorder="1" applyProtection="1">
      <protection locked="0"/>
    </xf>
    <xf numFmtId="0" fontId="35" fillId="0" borderId="56" xfId="5" applyFont="1" applyFill="1" applyBorder="1"/>
    <xf numFmtId="43" fontId="42" fillId="0" borderId="56" xfId="38" applyFont="1" applyFill="1" applyBorder="1" applyAlignment="1"/>
    <xf numFmtId="43" fontId="42" fillId="7" borderId="56" xfId="38" applyFont="1" applyFill="1" applyBorder="1" applyAlignment="1"/>
    <xf numFmtId="171" fontId="42" fillId="0" borderId="56" xfId="38" applyNumberFormat="1" applyFont="1" applyFill="1" applyBorder="1" applyAlignment="1"/>
    <xf numFmtId="171" fontId="42" fillId="7" borderId="56" xfId="38" applyNumberFormat="1" applyFont="1" applyFill="1" applyBorder="1" applyAlignment="1"/>
    <xf numFmtId="166" fontId="42" fillId="0" borderId="56" xfId="38" applyNumberFormat="1" applyFont="1" applyFill="1" applyBorder="1" applyAlignment="1"/>
    <xf numFmtId="168" fontId="42" fillId="7" borderId="56" xfId="38" applyNumberFormat="1" applyFont="1" applyFill="1" applyBorder="1" applyAlignment="1"/>
    <xf numFmtId="0" fontId="35" fillId="0" borderId="57" xfId="5" applyFont="1" applyFill="1" applyBorder="1"/>
    <xf numFmtId="43" fontId="42" fillId="0" borderId="56" xfId="38" applyFont="1" applyFill="1" applyBorder="1" applyAlignment="1">
      <alignment horizontal="right"/>
    </xf>
    <xf numFmtId="168" fontId="42" fillId="0" borderId="56" xfId="38" applyNumberFormat="1" applyFont="1" applyFill="1" applyBorder="1" applyAlignment="1">
      <alignment horizontal="right"/>
    </xf>
    <xf numFmtId="167" fontId="42" fillId="0" borderId="56" xfId="36" applyNumberFormat="1" applyFont="1" applyBorder="1" applyAlignment="1">
      <alignment horizontal="right"/>
    </xf>
    <xf numFmtId="0" fontId="31" fillId="0" borderId="56" xfId="36" applyFont="1" applyBorder="1"/>
    <xf numFmtId="167" fontId="31" fillId="0" borderId="56" xfId="36" applyNumberFormat="1" applyFont="1" applyBorder="1" applyAlignment="1">
      <alignment horizontal="right"/>
    </xf>
    <xf numFmtId="166" fontId="31" fillId="0" borderId="56" xfId="36" applyNumberFormat="1" applyFont="1" applyBorder="1" applyAlignment="1">
      <alignment horizontal="right"/>
    </xf>
    <xf numFmtId="168" fontId="52" fillId="0" borderId="59" xfId="1" applyNumberFormat="1" applyFont="1" applyFill="1" applyBorder="1" applyAlignment="1" applyProtection="1">
      <alignment horizontal="right"/>
      <protection locked="0"/>
    </xf>
    <xf numFmtId="168" fontId="52" fillId="0" borderId="59" xfId="1" applyNumberFormat="1" applyFont="1" applyBorder="1" applyAlignment="1" applyProtection="1">
      <alignment horizontal="right"/>
      <protection locked="0"/>
    </xf>
    <xf numFmtId="0" fontId="48" fillId="7" borderId="59" xfId="0" applyFont="1" applyFill="1" applyBorder="1" applyAlignment="1">
      <alignment horizontal="center"/>
    </xf>
    <xf numFmtId="171" fontId="31" fillId="7" borderId="59" xfId="1" applyNumberFormat="1" applyFont="1" applyFill="1" applyBorder="1" applyAlignment="1" applyProtection="1">
      <alignment horizontal="right"/>
      <protection hidden="1"/>
    </xf>
    <xf numFmtId="43" fontId="31" fillId="7" borderId="59" xfId="1" applyFont="1" applyFill="1" applyBorder="1" applyAlignment="1" applyProtection="1">
      <alignment horizontal="right"/>
      <protection hidden="1"/>
    </xf>
    <xf numFmtId="0" fontId="36" fillId="4" borderId="56" xfId="41" applyFont="1" applyFill="1" applyBorder="1"/>
    <xf numFmtId="43" fontId="42" fillId="0" borderId="0" xfId="38" applyFont="1" applyFill="1" applyBorder="1" applyAlignment="1">
      <alignment horizontal="right"/>
    </xf>
    <xf numFmtId="168" fontId="42" fillId="0" borderId="0" xfId="38" applyNumberFormat="1" applyFont="1" applyFill="1" applyBorder="1" applyAlignment="1">
      <alignment horizontal="right"/>
    </xf>
    <xf numFmtId="167" fontId="42" fillId="0" borderId="0" xfId="36" applyNumberFormat="1" applyFont="1" applyAlignment="1">
      <alignment horizontal="right"/>
    </xf>
    <xf numFmtId="0" fontId="0" fillId="0" borderId="0" xfId="0" applyFill="1" applyBorder="1" applyAlignment="1">
      <alignment horizontal="center"/>
    </xf>
    <xf numFmtId="167" fontId="31" fillId="0" borderId="0" xfId="36" applyNumberFormat="1" applyFont="1" applyAlignment="1">
      <alignment horizontal="right"/>
    </xf>
    <xf numFmtId="166" fontId="31" fillId="0" borderId="0" xfId="36" applyNumberFormat="1" applyFont="1" applyAlignment="1">
      <alignment horizontal="right"/>
    </xf>
    <xf numFmtId="0" fontId="42" fillId="7" borderId="0" xfId="36" applyFont="1" applyFill="1" applyProtection="1">
      <protection locked="0"/>
    </xf>
    <xf numFmtId="0" fontId="50" fillId="6" borderId="0" xfId="0" applyFont="1" applyFill="1" applyBorder="1" applyAlignment="1">
      <alignment horizontal="right"/>
    </xf>
    <xf numFmtId="171" fontId="31" fillId="0" borderId="60" xfId="1" applyNumberFormat="1" applyFont="1" applyFill="1" applyBorder="1" applyAlignment="1" applyProtection="1">
      <alignment horizontal="right"/>
    </xf>
    <xf numFmtId="44" fontId="31" fillId="0" borderId="60" xfId="2" applyFont="1" applyFill="1" applyBorder="1" applyAlignment="1" applyProtection="1">
      <alignment horizontal="right"/>
    </xf>
    <xf numFmtId="43" fontId="34" fillId="7" borderId="0" xfId="1" applyFont="1" applyFill="1" applyBorder="1"/>
    <xf numFmtId="0" fontId="7" fillId="7" borderId="0" xfId="0" applyFont="1" applyFill="1" applyBorder="1" applyAlignment="1" applyProtection="1">
      <alignment horizontal="right"/>
    </xf>
    <xf numFmtId="0" fontId="40" fillId="8" borderId="0" xfId="40" applyFill="1" applyBorder="1" applyAlignment="1"/>
    <xf numFmtId="0" fontId="59" fillId="6" borderId="0" xfId="0" applyFont="1" applyFill="1" applyBorder="1" applyAlignment="1">
      <alignment horizontal="center"/>
    </xf>
    <xf numFmtId="0" fontId="51" fillId="7" borderId="0" xfId="0" applyFont="1" applyFill="1" applyBorder="1" applyProtection="1"/>
    <xf numFmtId="0" fontId="51" fillId="7" borderId="0" xfId="0" applyFont="1" applyFill="1" applyBorder="1" applyProtection="1">
      <protection locked="0"/>
    </xf>
    <xf numFmtId="0" fontId="7" fillId="0" borderId="58" xfId="0" applyFont="1" applyBorder="1" applyAlignment="1" applyProtection="1">
      <alignment horizontal="right"/>
      <protection locked="0"/>
    </xf>
    <xf numFmtId="0" fontId="7" fillId="0" borderId="60" xfId="0" applyFont="1" applyBorder="1" applyAlignment="1" applyProtection="1">
      <alignment horizontal="right"/>
      <protection locked="0"/>
    </xf>
    <xf numFmtId="0" fontId="42" fillId="7" borderId="60" xfId="36" applyFont="1" applyFill="1" applyBorder="1" applyProtection="1">
      <protection locked="0"/>
    </xf>
    <xf numFmtId="171" fontId="31" fillId="0" borderId="58" xfId="1" applyNumberFormat="1" applyFont="1" applyFill="1" applyBorder="1" applyAlignment="1" applyProtection="1">
      <alignment horizontal="right"/>
    </xf>
    <xf numFmtId="44" fontId="31" fillId="0" borderId="58" xfId="2" applyFont="1" applyFill="1" applyBorder="1" applyAlignment="1" applyProtection="1">
      <alignment horizontal="right"/>
    </xf>
    <xf numFmtId="0" fontId="56" fillId="8" borderId="0" xfId="0" applyFont="1" applyFill="1" applyBorder="1"/>
    <xf numFmtId="0" fontId="58" fillId="0" borderId="0" xfId="40" applyFont="1" applyFill="1" applyBorder="1" applyAlignment="1"/>
    <xf numFmtId="0" fontId="35" fillId="0" borderId="59" xfId="0" applyFont="1" applyBorder="1"/>
    <xf numFmtId="0" fontId="42" fillId="7" borderId="59" xfId="36" applyFont="1" applyFill="1" applyBorder="1" applyProtection="1">
      <protection locked="0"/>
    </xf>
    <xf numFmtId="0" fontId="53" fillId="6" borderId="0" xfId="0" applyFont="1" applyFill="1" applyBorder="1"/>
    <xf numFmtId="0" fontId="54" fillId="6" borderId="0" xfId="0" applyFont="1" applyFill="1" applyBorder="1" applyAlignment="1">
      <alignment horizontal="right"/>
    </xf>
    <xf numFmtId="0" fontId="55" fillId="8" borderId="0" xfId="0" applyFont="1" applyFill="1" applyBorder="1"/>
    <xf numFmtId="0" fontId="57" fillId="7" borderId="0" xfId="0" applyFont="1" applyFill="1" applyBorder="1"/>
    <xf numFmtId="0" fontId="28" fillId="7" borderId="0" xfId="0" applyFont="1" applyFill="1" applyBorder="1" applyAlignment="1" applyProtection="1">
      <alignment horizontal="left"/>
    </xf>
    <xf numFmtId="39" fontId="12" fillId="7" borderId="9" xfId="1" applyNumberFormat="1" applyFont="1" applyFill="1" applyBorder="1" applyAlignment="1" applyProtection="1">
      <alignment horizontal="center"/>
      <protection locked="0"/>
    </xf>
    <xf numFmtId="39" fontId="12" fillId="7" borderId="55" xfId="1" applyNumberFormat="1" applyFont="1" applyFill="1" applyBorder="1" applyAlignment="1" applyProtection="1">
      <alignment horizontal="center"/>
      <protection locked="0"/>
    </xf>
    <xf numFmtId="39" fontId="12" fillId="7" borderId="19" xfId="1" applyNumberFormat="1" applyFont="1" applyFill="1" applyBorder="1" applyAlignment="1" applyProtection="1">
      <alignment horizontal="center"/>
      <protection locked="0"/>
    </xf>
    <xf numFmtId="37" fontId="12" fillId="7" borderId="9" xfId="1" applyNumberFormat="1" applyFont="1" applyFill="1" applyBorder="1" applyAlignment="1" applyProtection="1">
      <alignment horizontal="center"/>
      <protection locked="0"/>
    </xf>
    <xf numFmtId="37" fontId="12" fillId="7" borderId="55" xfId="1" applyNumberFormat="1" applyFont="1" applyFill="1" applyBorder="1" applyAlignment="1" applyProtection="1">
      <alignment horizontal="center"/>
      <protection locked="0"/>
    </xf>
    <xf numFmtId="37" fontId="12" fillId="7" borderId="19" xfId="1" applyNumberFormat="1" applyFont="1" applyFill="1" applyBorder="1" applyAlignment="1" applyProtection="1">
      <alignment horizontal="center"/>
      <protection locked="0"/>
    </xf>
    <xf numFmtId="170" fontId="12" fillId="7" borderId="9" xfId="2" applyNumberFormat="1" applyFont="1" applyFill="1" applyBorder="1" applyAlignment="1" applyProtection="1">
      <alignment horizontal="center"/>
      <protection locked="0"/>
    </xf>
    <xf numFmtId="170" fontId="12" fillId="7" borderId="55" xfId="2" applyNumberFormat="1" applyFont="1" applyFill="1" applyBorder="1" applyAlignment="1" applyProtection="1">
      <alignment horizontal="center"/>
      <protection locked="0"/>
    </xf>
    <xf numFmtId="39" fontId="7" fillId="7" borderId="9" xfId="1" applyNumberFormat="1" applyFont="1" applyFill="1" applyBorder="1" applyAlignment="1" applyProtection="1">
      <alignment horizontal="center"/>
      <protection locked="0"/>
    </xf>
    <xf numFmtId="39" fontId="7" fillId="7" borderId="55" xfId="1" applyNumberFormat="1" applyFont="1" applyFill="1" applyBorder="1" applyAlignment="1" applyProtection="1">
      <alignment horizontal="center"/>
      <protection locked="0"/>
    </xf>
    <xf numFmtId="170" fontId="7" fillId="7" borderId="19" xfId="2" applyNumberFormat="1" applyFont="1" applyFill="1" applyBorder="1" applyAlignment="1" applyProtection="1">
      <alignment horizontal="center"/>
      <protection locked="0"/>
    </xf>
    <xf numFmtId="0" fontId="9" fillId="7" borderId="4" xfId="0" applyFont="1" applyFill="1" applyBorder="1" applyAlignment="1" applyProtection="1">
      <alignment horizontal="center"/>
      <protection locked="0"/>
    </xf>
    <xf numFmtId="0" fontId="0" fillId="7" borderId="41" xfId="0" applyFill="1" applyBorder="1" applyAlignment="1">
      <alignment horizontal="center"/>
    </xf>
    <xf numFmtId="0" fontId="12" fillId="7" borderId="5" xfId="0" applyFont="1" applyFill="1" applyBorder="1" applyAlignment="1" applyProtection="1">
      <alignment horizontal="center"/>
      <protection locked="0"/>
    </xf>
    <xf numFmtId="0" fontId="0" fillId="7" borderId="0" xfId="0" applyFill="1" applyBorder="1" applyAlignment="1"/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60" xfId="0" applyFont="1" applyFill="1" applyBorder="1" applyAlignment="1" applyProtection="1">
      <alignment horizontal="center" vertical="center" wrapText="1"/>
      <protection locked="0"/>
    </xf>
    <xf numFmtId="0" fontId="7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44" xfId="0" applyFont="1" applyFill="1" applyBorder="1" applyAlignment="1" applyProtection="1">
      <alignment horizontal="center"/>
      <protection locked="0"/>
    </xf>
    <xf numFmtId="0" fontId="7" fillId="7" borderId="45" xfId="0" applyFont="1" applyFill="1" applyBorder="1" applyAlignment="1" applyProtection="1">
      <alignment horizontal="center"/>
      <protection locked="0"/>
    </xf>
    <xf numFmtId="0" fontId="7" fillId="7" borderId="46" xfId="0" applyFont="1" applyFill="1" applyBorder="1" applyAlignment="1" applyProtection="1">
      <alignment horizontal="center"/>
      <protection locked="0"/>
    </xf>
    <xf numFmtId="0" fontId="12" fillId="7" borderId="44" xfId="0" applyFont="1" applyFill="1" applyBorder="1" applyAlignment="1" applyProtection="1">
      <alignment horizontal="center"/>
      <protection locked="0"/>
    </xf>
    <xf numFmtId="0" fontId="12" fillId="7" borderId="45" xfId="0" applyFont="1" applyFill="1" applyBorder="1" applyAlignment="1" applyProtection="1">
      <alignment horizontal="center"/>
      <protection locked="0"/>
    </xf>
    <xf numFmtId="0" fontId="12" fillId="7" borderId="46" xfId="0" applyFont="1" applyFill="1" applyBorder="1" applyAlignment="1" applyProtection="1">
      <alignment horizontal="center"/>
      <protection locked="0"/>
    </xf>
    <xf numFmtId="0" fontId="34" fillId="0" borderId="58" xfId="36" applyFont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47" fillId="7" borderId="0" xfId="0" applyFont="1" applyFill="1" applyAlignment="1">
      <alignment horizontal="left" vertical="center"/>
    </xf>
  </cellXfs>
  <cellStyles count="42">
    <cellStyle name="Comma" xfId="1" builtinId="3"/>
    <cellStyle name="Comma 2" xfId="6" xr:uid="{00000000-0005-0000-0000-000001000000}"/>
    <cellStyle name="Comma 2 2" xfId="12" xr:uid="{00000000-0005-0000-0000-000002000000}"/>
    <cellStyle name="Comma 3" xfId="13" xr:uid="{00000000-0005-0000-0000-000003000000}"/>
    <cellStyle name="Comma 3 2" xfId="14" xr:uid="{00000000-0005-0000-0000-000004000000}"/>
    <cellStyle name="Comma 4" xfId="25" xr:uid="{00000000-0005-0000-0000-000005000000}"/>
    <cellStyle name="Comma 5" xfId="27" xr:uid="{00000000-0005-0000-0000-000006000000}"/>
    <cellStyle name="Comma 5 2" xfId="35" xr:uid="{F7E12BD5-D3A9-4C78-A82A-EA470D036DB6}"/>
    <cellStyle name="Comma 6" xfId="38" xr:uid="{F8EA2B87-F131-460E-9207-A5FE10180D02}"/>
    <cellStyle name="Currency" xfId="2" builtinId="4"/>
    <cellStyle name="Currency 2" xfId="15" xr:uid="{00000000-0005-0000-0000-000008000000}"/>
    <cellStyle name="Currency 2 2" xfId="16" xr:uid="{00000000-0005-0000-0000-000009000000}"/>
    <cellStyle name="Currency 3" xfId="24" xr:uid="{00000000-0005-0000-0000-00000A000000}"/>
    <cellStyle name="Currency 4" xfId="39" xr:uid="{094252EA-4244-4C42-8089-A93AFF6EAE85}"/>
    <cellStyle name="Hyperlink" xfId="40" builtinId="8"/>
    <cellStyle name="Normal" xfId="0" builtinId="0"/>
    <cellStyle name="Normal 2" xfId="4" xr:uid="{00000000-0005-0000-0000-00000C000000}"/>
    <cellStyle name="Normal 2 2" xfId="17" xr:uid="{00000000-0005-0000-0000-00000D000000}"/>
    <cellStyle name="Normal 2 2 2" xfId="18" xr:uid="{00000000-0005-0000-0000-00000E000000}"/>
    <cellStyle name="Normal 3" xfId="5" xr:uid="{00000000-0005-0000-0000-00000F000000}"/>
    <cellStyle name="Normal 3 2" xfId="19" xr:uid="{00000000-0005-0000-0000-000010000000}"/>
    <cellStyle name="Normal 4" xfId="7" xr:uid="{00000000-0005-0000-0000-000011000000}"/>
    <cellStyle name="Normal 4 2" xfId="32" xr:uid="{3C45026E-B615-4514-8D52-75D62E453E81}"/>
    <cellStyle name="Normal 4_Dx Comp Rm Glycol Cool WO Ec2" xfId="28" xr:uid="{88D33CC5-9501-483D-B248-3DDD4A85A43E}"/>
    <cellStyle name="Normal 5" xfId="10" xr:uid="{00000000-0005-0000-0000-000012000000}"/>
    <cellStyle name="Normal 6" xfId="11" xr:uid="{00000000-0005-0000-0000-000013000000}"/>
    <cellStyle name="Normal 6 2" xfId="20" xr:uid="{00000000-0005-0000-0000-000014000000}"/>
    <cellStyle name="Normal 6_Dx Comp Rm Glycol Cool WO Ec2" xfId="29" xr:uid="{5A055DBB-B140-441E-8884-91028ECEAE40}"/>
    <cellStyle name="Normal 7" xfId="26" xr:uid="{00000000-0005-0000-0000-000015000000}"/>
    <cellStyle name="Normal 7 2" xfId="34" xr:uid="{CC629F70-374B-4DC3-98FA-86D84D5431B5}"/>
    <cellStyle name="Normal 7_Dx Comp Rm Glycol Cool WO Ec2" xfId="30" xr:uid="{708C2536-857A-47C7-BA6F-D04B20DF4698}"/>
    <cellStyle name="Normal 8" xfId="36" xr:uid="{B704EFF4-040A-4ADC-85B8-A745AD845660}"/>
    <cellStyle name="Normal 8 2" xfId="41" xr:uid="{52DE55C0-9FDC-496F-AB2C-7B24892AF51D}"/>
    <cellStyle name="Note 2" xfId="9" xr:uid="{00000000-0005-0000-0000-00001A000000}"/>
    <cellStyle name="Note 2 2" xfId="21" xr:uid="{00000000-0005-0000-0000-00001B000000}"/>
    <cellStyle name="Note 2_Dx Comp Rm Glycol Cool WO Ec2" xfId="31" xr:uid="{05BCE32C-346C-4238-903B-693183F4795D}"/>
    <cellStyle name="Percent" xfId="3" builtinId="5"/>
    <cellStyle name="Percent 2" xfId="8" xr:uid="{00000000-0005-0000-0000-00001D000000}"/>
    <cellStyle name="Percent 2 2" xfId="33" xr:uid="{1AD4366E-1F4F-49D9-AEC3-6FD5EE96D7E6}"/>
    <cellStyle name="Percent 3" xfId="22" xr:uid="{00000000-0005-0000-0000-00001E000000}"/>
    <cellStyle name="Percent 3 2" xfId="23" xr:uid="{00000000-0005-0000-0000-00001F000000}"/>
    <cellStyle name="Percent 4" xfId="37" xr:uid="{8E402E61-69AE-4AE1-A9D3-8A7BBC49588F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D93C6C.EB7D9230" TargetMode="External"/><Relationship Id="rId1" Type="http://schemas.openxmlformats.org/officeDocument/2006/relationships/image" Target="../media/image1.png"/><Relationship Id="rId4" Type="http://schemas.openxmlformats.org/officeDocument/2006/relationships/image" Target="cid:image003.png@01D93C6C.EB7D92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5</xdr:row>
      <xdr:rowOff>47625</xdr:rowOff>
    </xdr:from>
    <xdr:to>
      <xdr:col>7</xdr:col>
      <xdr:colOff>571500</xdr:colOff>
      <xdr:row>12</xdr:row>
      <xdr:rowOff>95250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7650" y="1028700"/>
          <a:ext cx="409575" cy="1181100"/>
        </a:xfrm>
        <a:prstGeom prst="rightBrace">
          <a:avLst>
            <a:gd name="adj1" fmla="val 8333"/>
            <a:gd name="adj2" fmla="val 45968"/>
          </a:avLst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161925</xdr:colOff>
      <xdr:row>20</xdr:row>
      <xdr:rowOff>47625</xdr:rowOff>
    </xdr:from>
    <xdr:to>
      <xdr:col>7</xdr:col>
      <xdr:colOff>571500</xdr:colOff>
      <xdr:row>25</xdr:row>
      <xdr:rowOff>114300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67650" y="3629025"/>
          <a:ext cx="409575" cy="876300"/>
        </a:xfrm>
        <a:prstGeom prst="rightBrace">
          <a:avLst>
            <a:gd name="adj1" fmla="val 8333"/>
            <a:gd name="adj2" fmla="val 54664"/>
          </a:avLst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152400</xdr:colOff>
      <xdr:row>8</xdr:row>
      <xdr:rowOff>104774</xdr:rowOff>
    </xdr:from>
    <xdr:to>
      <xdr:col>9</xdr:col>
      <xdr:colOff>561975</xdr:colOff>
      <xdr:row>23</xdr:row>
      <xdr:rowOff>85724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077325" y="1571624"/>
          <a:ext cx="409575" cy="2581275"/>
        </a:xfrm>
        <a:prstGeom prst="rightBrace">
          <a:avLst>
            <a:gd name="adj1" fmla="val 8333"/>
            <a:gd name="adj2" fmla="val 45968"/>
          </a:avLst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40</xdr:row>
      <xdr:rowOff>114300</xdr:rowOff>
    </xdr:from>
    <xdr:to>
      <xdr:col>14</xdr:col>
      <xdr:colOff>409575</xdr:colOff>
      <xdr:row>80</xdr:row>
      <xdr:rowOff>66675</xdr:rowOff>
    </xdr:to>
    <xdr:pic>
      <xdr:nvPicPr>
        <xdr:cNvPr id="5" name="Picture 1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7343775"/>
          <a:ext cx="4524375" cy="642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314325</xdr:colOff>
      <xdr:row>39</xdr:row>
      <xdr:rowOff>133350</xdr:rowOff>
    </xdr:from>
    <xdr:to>
      <xdr:col>21</xdr:col>
      <xdr:colOff>476250</xdr:colOff>
      <xdr:row>80</xdr:row>
      <xdr:rowOff>19050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7200900"/>
          <a:ext cx="4429125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bel" id="{BF09C964-01AF-4BA3-81C6-AD793BA20F89}" userId="S::AXA0PPZ@fpl.com::30588746-1303-4111-9970-875d8c97b1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0" dT="2021-12-01T20:23:03.17" personId="{BF09C964-01AF-4BA3-81C6-AD793BA20F89}" id="{56CB44BC-B252-4E27-B00C-A339A70B0A85}">
    <text>Baseline reduced 0.4 to accomodate the 10.0 value in the table</text>
  </threadedComment>
  <threadedComment ref="M60" dT="2021-12-01T18:55:21.12" personId="{BF09C964-01AF-4BA3-81C6-AD793BA20F89}" id="{2E2E9196-6E8E-48CD-9734-6D3589240289}">
    <text>Baseline reduced by 0.3 to accomodate the 10.5 value in the table</text>
  </threadedComment>
  <threadedComment ref="P60" dT="2021-12-01T18:54:28.22" personId="{BF09C964-01AF-4BA3-81C6-AD793BA20F89}" id="{5D28334E-E15A-4732-BA91-2E80B69D24CE}">
    <text>Baseline reduced 0.3 to accomodate the 11.5 value in the table</text>
  </threadedComment>
  <threadedComment ref="V60" dT="2021-12-01T18:52:52.23" personId="{BF09C964-01AF-4BA3-81C6-AD793BA20F89}" id="{7E43906B-3087-4FA8-B720-5CF0837DAB23}">
    <text>Baseline reduced 0.3 to accomodate the 14.0 value in the table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hyperlink" Target="mailto:Chi.Lui@fp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Abel.Alonso@fpl.com" TargetMode="External"/><Relationship Id="rId1" Type="http://schemas.openxmlformats.org/officeDocument/2006/relationships/hyperlink" Target="mailto:Gary.R.Reynolds@fp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ke.Catarzi@fp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ee.sharepoint.com/:x:/r/teams/EXT_EXTDSMSProjectTeamsChannel/_layouts/15/Doc.aspx?sourcedoc=%7BA7941B36-3EC4-4E18-B673-C26F641D505C%7D&amp;file=Business%20HVAC%20DX%20Calculation%20R4-07312023.xlsx&amp;action=default&amp;mobileredirect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2725-F249-4B39-9A6B-F183923C1831}">
  <sheetPr>
    <pageSetUpPr fitToPage="1"/>
  </sheetPr>
  <dimension ref="A1:Z102"/>
  <sheetViews>
    <sheetView tabSelected="1" zoomScaleNormal="100" workbookViewId="0">
      <selection activeCell="D35" sqref="D35"/>
    </sheetView>
  </sheetViews>
  <sheetFormatPr defaultColWidth="9.140625" defaultRowHeight="15" x14ac:dyDescent="0.25"/>
  <cols>
    <col min="1" max="1" width="1.5703125" style="28" customWidth="1"/>
    <col min="2" max="2" width="17" style="28" hidden="1" customWidth="1"/>
    <col min="3" max="3" width="63.85546875" style="28" customWidth="1"/>
    <col min="4" max="4" width="23.85546875" style="28" customWidth="1"/>
    <col min="5" max="5" width="0.7109375" style="28" customWidth="1"/>
    <col min="6" max="6" width="19.5703125" style="28" customWidth="1"/>
    <col min="7" max="7" width="16.85546875" style="28" hidden="1" customWidth="1"/>
    <col min="8" max="8" width="48.85546875" style="28" hidden="1" customWidth="1"/>
    <col min="9" max="9" width="12.5703125" style="28" hidden="1" customWidth="1"/>
    <col min="10" max="10" width="41.5703125" style="28" hidden="1" customWidth="1"/>
    <col min="11" max="11" width="78.5703125" style="28" customWidth="1"/>
    <col min="12" max="12" width="10" style="28" customWidth="1"/>
    <col min="13" max="13" width="10.42578125" style="28" bestFit="1" customWidth="1"/>
    <col min="14" max="14" width="11.28515625" style="28" customWidth="1"/>
    <col min="15" max="15" width="7" style="28" bestFit="1" customWidth="1"/>
    <col min="16" max="16" width="13.28515625" style="28" bestFit="1" customWidth="1"/>
    <col min="17" max="17" width="8.85546875" style="28" customWidth="1"/>
    <col min="18" max="18" width="7" style="28" bestFit="1" customWidth="1"/>
    <col min="19" max="19" width="38.42578125" style="28" customWidth="1"/>
    <col min="20" max="20" width="9" style="28" customWidth="1"/>
    <col min="21" max="21" width="7" style="28" bestFit="1" customWidth="1"/>
    <col min="22" max="22" width="17.28515625" style="28" customWidth="1"/>
    <col min="23" max="16384" width="9.140625" style="28"/>
  </cols>
  <sheetData>
    <row r="1" spans="3:20" x14ac:dyDescent="0.25">
      <c r="Q1" s="29"/>
      <c r="R1" s="29"/>
      <c r="S1" s="29"/>
      <c r="T1" s="29"/>
    </row>
    <row r="2" spans="3:20" ht="15.75" hidden="1" x14ac:dyDescent="0.25">
      <c r="C2" s="186" t="s">
        <v>0</v>
      </c>
      <c r="D2" s="178"/>
      <c r="E2" s="178"/>
      <c r="F2" s="178"/>
      <c r="Q2" s="29"/>
      <c r="R2" s="29"/>
      <c r="S2" s="29"/>
      <c r="T2" s="29"/>
    </row>
    <row r="3" spans="3:20" ht="15.75" hidden="1" x14ac:dyDescent="0.25">
      <c r="C3" s="186" t="s">
        <v>1</v>
      </c>
      <c r="D3" s="187">
        <v>1.07</v>
      </c>
      <c r="E3" s="187"/>
      <c r="F3" s="187"/>
      <c r="G3" s="188"/>
      <c r="I3" s="28">
        <f>12*D3</f>
        <v>12.84</v>
      </c>
      <c r="Q3" s="29"/>
      <c r="R3" s="29"/>
      <c r="S3" s="29"/>
      <c r="T3" s="29"/>
    </row>
    <row r="4" spans="3:20" ht="15.75" hidden="1" x14ac:dyDescent="0.25">
      <c r="C4" s="189"/>
      <c r="D4" s="190" t="s">
        <v>2</v>
      </c>
      <c r="E4" s="190"/>
      <c r="F4" s="190"/>
      <c r="G4" s="191" t="s">
        <v>3</v>
      </c>
      <c r="Q4" s="29"/>
      <c r="R4" s="29"/>
      <c r="S4" s="29"/>
      <c r="T4" s="29"/>
    </row>
    <row r="5" spans="3:20" ht="18.75" hidden="1" x14ac:dyDescent="0.25">
      <c r="C5" s="192" t="s">
        <v>4</v>
      </c>
      <c r="D5" s="193">
        <v>13.4</v>
      </c>
      <c r="E5" s="193"/>
      <c r="F5" s="193"/>
      <c r="G5" s="188"/>
      <c r="H5" s="30" t="s">
        <v>5</v>
      </c>
      <c r="J5" s="280" t="s">
        <v>6</v>
      </c>
      <c r="K5" s="280"/>
      <c r="L5" s="29"/>
      <c r="M5" s="29"/>
      <c r="N5" s="29"/>
      <c r="Q5" s="29"/>
      <c r="R5" s="29"/>
      <c r="S5" s="29"/>
      <c r="T5" s="29"/>
    </row>
    <row r="6" spans="3:20" ht="20.25" hidden="1" x14ac:dyDescent="0.25">
      <c r="C6" s="192" t="s">
        <v>7</v>
      </c>
      <c r="D6" s="193">
        <v>11.2</v>
      </c>
      <c r="E6" s="193"/>
      <c r="F6" s="193"/>
      <c r="G6" s="194">
        <v>14.8</v>
      </c>
      <c r="H6" s="30" t="s">
        <v>8</v>
      </c>
      <c r="J6" s="31" t="s">
        <v>9</v>
      </c>
      <c r="K6" s="31" t="s">
        <v>10</v>
      </c>
      <c r="L6" s="29"/>
      <c r="M6" s="29"/>
      <c r="N6" s="29"/>
      <c r="Q6" s="29"/>
      <c r="R6" s="29"/>
      <c r="S6" s="29"/>
      <c r="T6" s="29"/>
    </row>
    <row r="7" spans="3:20" ht="18.75" hidden="1" x14ac:dyDescent="0.25">
      <c r="C7" s="192" t="s">
        <v>11</v>
      </c>
      <c r="D7" s="195">
        <v>11</v>
      </c>
      <c r="E7" s="195"/>
      <c r="F7" s="195"/>
      <c r="G7" s="196">
        <v>14.2</v>
      </c>
      <c r="H7" s="30" t="s">
        <v>12</v>
      </c>
      <c r="J7" s="31" t="s">
        <v>13</v>
      </c>
      <c r="K7" s="31" t="s">
        <v>14</v>
      </c>
      <c r="L7" s="29"/>
      <c r="M7" s="29"/>
      <c r="N7" s="29"/>
      <c r="Q7" s="29"/>
      <c r="R7" s="29"/>
      <c r="S7" s="29"/>
      <c r="T7" s="29"/>
    </row>
    <row r="8" spans="3:20" ht="20.25" hidden="1" x14ac:dyDescent="0.25">
      <c r="C8" s="192" t="s">
        <v>15</v>
      </c>
      <c r="D8" s="195">
        <v>10</v>
      </c>
      <c r="E8" s="195"/>
      <c r="F8" s="195"/>
      <c r="G8" s="196">
        <v>13.2</v>
      </c>
      <c r="H8" s="30" t="s">
        <v>16</v>
      </c>
      <c r="J8" s="31" t="s">
        <v>17</v>
      </c>
      <c r="K8" s="31" t="s">
        <v>18</v>
      </c>
      <c r="L8" s="29"/>
      <c r="M8" s="29"/>
      <c r="N8" s="29"/>
      <c r="Q8" s="29"/>
      <c r="R8" s="29"/>
      <c r="S8" s="29"/>
      <c r="T8" s="29"/>
    </row>
    <row r="9" spans="3:20" ht="20.25" hidden="1" x14ac:dyDescent="0.25">
      <c r="C9" s="192" t="s">
        <v>19</v>
      </c>
      <c r="D9" s="197">
        <v>9.6999999999999993</v>
      </c>
      <c r="E9" s="197"/>
      <c r="F9" s="197"/>
      <c r="G9" s="198">
        <v>12.5</v>
      </c>
      <c r="H9" s="32" t="s">
        <v>20</v>
      </c>
      <c r="J9" s="31" t="s">
        <v>21</v>
      </c>
      <c r="K9" s="31" t="s">
        <v>18</v>
      </c>
      <c r="L9" s="29"/>
      <c r="M9" s="29"/>
      <c r="N9" s="29"/>
      <c r="Q9" s="29"/>
      <c r="R9" s="29"/>
      <c r="S9" s="33"/>
      <c r="T9" s="29"/>
    </row>
    <row r="10" spans="3:20" ht="18.75" hidden="1" x14ac:dyDescent="0.25">
      <c r="C10" s="192" t="s">
        <v>22</v>
      </c>
      <c r="D10" s="197">
        <v>65</v>
      </c>
      <c r="E10" s="197"/>
      <c r="F10" s="197"/>
      <c r="G10" s="198"/>
      <c r="H10" s="30" t="s">
        <v>23</v>
      </c>
      <c r="J10" s="31"/>
      <c r="K10" s="31"/>
      <c r="L10" s="29"/>
      <c r="M10" s="29"/>
      <c r="N10" s="29"/>
      <c r="Q10" s="29"/>
      <c r="R10" s="29"/>
      <c r="S10" s="33"/>
      <c r="T10" s="29"/>
    </row>
    <row r="11" spans="3:20" ht="18.75" hidden="1" x14ac:dyDescent="0.25">
      <c r="C11" s="192" t="s">
        <v>24</v>
      </c>
      <c r="D11" s="197">
        <v>135</v>
      </c>
      <c r="E11" s="197"/>
      <c r="F11" s="197"/>
      <c r="G11" s="198"/>
      <c r="H11" s="30" t="s">
        <v>25</v>
      </c>
      <c r="J11" s="280" t="s">
        <v>26</v>
      </c>
      <c r="K11" s="280"/>
      <c r="L11" s="29"/>
      <c r="M11" s="29"/>
      <c r="N11" s="29"/>
      <c r="Q11" s="29"/>
      <c r="R11" s="29"/>
      <c r="S11" s="33"/>
      <c r="T11" s="29"/>
    </row>
    <row r="12" spans="3:20" hidden="1" x14ac:dyDescent="0.25">
      <c r="C12" s="192" t="s">
        <v>27</v>
      </c>
      <c r="D12" s="197">
        <v>240</v>
      </c>
      <c r="E12" s="197"/>
      <c r="F12" s="197"/>
      <c r="G12" s="198"/>
      <c r="H12" s="30" t="s">
        <v>28</v>
      </c>
      <c r="J12" s="29"/>
      <c r="L12" s="29"/>
      <c r="M12" s="29"/>
      <c r="N12" s="29"/>
      <c r="Q12" s="29"/>
      <c r="R12" s="29"/>
      <c r="S12" s="33"/>
      <c r="T12" s="29"/>
    </row>
    <row r="13" spans="3:20" ht="18.75" hidden="1" x14ac:dyDescent="0.25">
      <c r="C13" s="192" t="s">
        <v>29</v>
      </c>
      <c r="D13" s="197">
        <v>760</v>
      </c>
      <c r="E13" s="197"/>
      <c r="F13" s="197"/>
      <c r="G13" s="198"/>
      <c r="H13" s="30" t="s">
        <v>30</v>
      </c>
      <c r="J13" s="280" t="s">
        <v>31</v>
      </c>
      <c r="K13" s="280"/>
      <c r="L13" s="29"/>
      <c r="M13" s="29"/>
      <c r="N13" s="29"/>
      <c r="Q13" s="29"/>
      <c r="R13" s="29"/>
      <c r="S13" s="33"/>
      <c r="T13" s="29"/>
    </row>
    <row r="14" spans="3:20" ht="18.75" hidden="1" x14ac:dyDescent="0.25">
      <c r="C14" s="199" t="s">
        <v>32</v>
      </c>
      <c r="D14" s="200">
        <v>165</v>
      </c>
      <c r="E14" s="200"/>
      <c r="F14" s="200"/>
      <c r="G14" s="201"/>
      <c r="H14" s="30" t="s">
        <v>33</v>
      </c>
      <c r="J14" s="31" t="s">
        <v>34</v>
      </c>
      <c r="K14" s="31" t="s">
        <v>35</v>
      </c>
      <c r="L14" s="29"/>
      <c r="M14" s="29"/>
      <c r="N14" s="29"/>
      <c r="O14" s="29"/>
      <c r="P14" s="29"/>
      <c r="Q14" s="29"/>
      <c r="R14" s="29"/>
      <c r="S14" s="34"/>
      <c r="T14" s="29"/>
    </row>
    <row r="15" spans="3:20" ht="18.75" hidden="1" x14ac:dyDescent="0.25">
      <c r="C15" s="199" t="s">
        <v>36</v>
      </c>
      <c r="D15" s="202">
        <v>0.88900000000000001</v>
      </c>
      <c r="E15" s="202"/>
      <c r="F15" s="202"/>
      <c r="G15" s="203"/>
      <c r="H15" s="30" t="s">
        <v>37</v>
      </c>
      <c r="J15" s="31" t="s">
        <v>38</v>
      </c>
      <c r="K15" s="31" t="s">
        <v>39</v>
      </c>
      <c r="L15" s="29"/>
      <c r="M15" s="29"/>
      <c r="N15" s="29"/>
      <c r="O15" s="29"/>
      <c r="P15" s="29"/>
      <c r="Q15" s="29"/>
      <c r="R15" s="29"/>
      <c r="S15" s="35"/>
    </row>
    <row r="16" spans="3:20" ht="18.75" hidden="1" x14ac:dyDescent="0.25">
      <c r="C16" s="199" t="s">
        <v>40</v>
      </c>
      <c r="D16" s="202">
        <v>0.97</v>
      </c>
      <c r="E16" s="202"/>
      <c r="F16" s="202"/>
      <c r="G16" s="203"/>
      <c r="H16" s="30" t="s">
        <v>41</v>
      </c>
      <c r="J16" s="31" t="s">
        <v>42</v>
      </c>
      <c r="K16" s="31" t="s">
        <v>43</v>
      </c>
      <c r="R16" s="29"/>
    </row>
    <row r="17" spans="1:18" ht="18.75" hidden="1" x14ac:dyDescent="0.25">
      <c r="B17" s="36" t="s">
        <v>44</v>
      </c>
      <c r="C17" s="199" t="s">
        <v>45</v>
      </c>
      <c r="D17" s="202">
        <f>'ASHRAE Std 90.1'!I24</f>
        <v>1.2994585171995598</v>
      </c>
      <c r="E17" s="202"/>
      <c r="F17" s="202"/>
      <c r="G17" s="203"/>
      <c r="H17" s="30" t="s">
        <v>46</v>
      </c>
      <c r="J17" s="31"/>
      <c r="K17" s="31"/>
      <c r="R17" s="29"/>
    </row>
    <row r="18" spans="1:18" ht="18.75" hidden="1" x14ac:dyDescent="0.25">
      <c r="A18" s="36"/>
      <c r="C18" s="199" t="s">
        <v>47</v>
      </c>
      <c r="D18" s="202">
        <v>1</v>
      </c>
      <c r="E18" s="202"/>
      <c r="F18" s="202"/>
      <c r="G18" s="203"/>
      <c r="H18" s="30" t="s">
        <v>48</v>
      </c>
      <c r="J18" s="31" t="s">
        <v>49</v>
      </c>
      <c r="K18" s="31" t="s">
        <v>50</v>
      </c>
      <c r="R18" s="29"/>
    </row>
    <row r="19" spans="1:18" ht="20.25" hidden="1" customHeight="1" x14ac:dyDescent="0.25">
      <c r="C19" s="204" t="s">
        <v>51</v>
      </c>
      <c r="D19" s="205">
        <v>1</v>
      </c>
      <c r="E19" s="205"/>
      <c r="F19" s="205"/>
      <c r="G19" s="206"/>
      <c r="H19" s="30" t="s">
        <v>52</v>
      </c>
      <c r="K19" s="31"/>
    </row>
    <row r="20" spans="1:18" ht="18.75" hidden="1" x14ac:dyDescent="0.25">
      <c r="C20" s="204" t="s">
        <v>53</v>
      </c>
      <c r="D20" s="207">
        <v>0.98299999999999998</v>
      </c>
      <c r="E20" s="207"/>
      <c r="F20" s="207"/>
      <c r="G20" s="208"/>
      <c r="H20" s="30" t="s">
        <v>54</v>
      </c>
      <c r="J20" s="280" t="s">
        <v>55</v>
      </c>
      <c r="K20" s="280"/>
    </row>
    <row r="21" spans="1:18" ht="18.75" hidden="1" x14ac:dyDescent="0.25">
      <c r="C21" s="204" t="s">
        <v>56</v>
      </c>
      <c r="D21" s="209">
        <v>3796.3</v>
      </c>
      <c r="E21" s="209"/>
      <c r="F21" s="209"/>
      <c r="G21" s="210"/>
      <c r="H21" s="37" t="s">
        <v>57</v>
      </c>
      <c r="J21" s="31" t="s">
        <v>58</v>
      </c>
      <c r="K21" s="31" t="s">
        <v>59</v>
      </c>
    </row>
    <row r="22" spans="1:18" hidden="1" x14ac:dyDescent="0.25">
      <c r="C22" s="211" t="s">
        <v>60</v>
      </c>
      <c r="D22" s="212" t="s">
        <v>61</v>
      </c>
      <c r="E22" s="224"/>
      <c r="F22" s="224"/>
      <c r="G22" s="38"/>
      <c r="H22" s="30" t="s">
        <v>62</v>
      </c>
    </row>
    <row r="23" spans="1:18" ht="18.75" hidden="1" x14ac:dyDescent="0.25">
      <c r="C23" s="179"/>
      <c r="D23" s="213" t="s">
        <v>63</v>
      </c>
      <c r="E23" s="225"/>
      <c r="F23" s="225"/>
      <c r="G23" s="39"/>
      <c r="H23" s="32"/>
      <c r="J23" s="280" t="s">
        <v>64</v>
      </c>
      <c r="K23" s="280"/>
    </row>
    <row r="24" spans="1:18" hidden="1" x14ac:dyDescent="0.25">
      <c r="C24" s="204" t="s">
        <v>65</v>
      </c>
      <c r="D24" s="214">
        <v>0.875</v>
      </c>
      <c r="E24" s="226"/>
      <c r="F24" s="226"/>
      <c r="J24" s="40"/>
      <c r="K24" s="40"/>
    </row>
    <row r="25" spans="1:18" hidden="1" x14ac:dyDescent="0.25">
      <c r="C25" s="278" t="s">
        <v>66</v>
      </c>
      <c r="D25" s="279"/>
      <c r="E25" s="227"/>
      <c r="F25" s="227"/>
      <c r="G25" s="41"/>
      <c r="J25" s="42" t="s">
        <v>2</v>
      </c>
      <c r="K25" s="40" t="s">
        <v>67</v>
      </c>
    </row>
    <row r="26" spans="1:18" hidden="1" x14ac:dyDescent="0.25">
      <c r="C26" s="215" t="s">
        <v>68</v>
      </c>
      <c r="D26" s="216" t="str">
        <f>IF(Efficiency_Rating=IEER,"0",IF(Efficiency_Rating=SEER2,"0",IF(Efficiency_Rating=J28,"0",IF(Efficiency_Rating=EER,IF(System_Capacity__Mbtuh&lt;Capacity_65_Mbtuh,K25,IF(System_Capacity__Mbtuh&gt;=Capacity_65_Mbtuh,IF(System_Capacity__Mbtuh&lt;Capacity_135_Mbtuh,Min_EER_65_135*D3,IF(System_Capacity__Mbtuh&gt;=Capacity_135_Mbtuh,IF(System_Capacity__Mbtuh&lt;Capacity_240_Mbtuh,Min_EER_135_240*D3,IF(System_Capacity__Mbtuh&gt;=Capacity_240_Mbtuh,IF(System_Capacity__Mbtuh&lt;Capacity_760_Mbtuh,Min_EER_240_760*D3,IF(System_Capacity__Mbtuh&gt;=Capacity_760_Mbtuh,MIN_EER_760*D3))))))))))))</f>
        <v>0</v>
      </c>
      <c r="E26" s="228"/>
      <c r="F26" s="228"/>
      <c r="G26" s="43"/>
      <c r="H26" s="30" t="s">
        <v>69</v>
      </c>
      <c r="J26" s="44" t="s">
        <v>70</v>
      </c>
      <c r="K26" s="40" t="s">
        <v>71</v>
      </c>
    </row>
    <row r="27" spans="1:18" hidden="1" x14ac:dyDescent="0.25">
      <c r="C27" s="215" t="s">
        <v>72</v>
      </c>
      <c r="D27" s="216">
        <f>IF(Efficiency_Rating=IEER,"0",IF(Efficiency_Rating=SEER2,"0",IF(Efficiency_Rating=EER,"0",IF(System_Capacity__Mbtuh&gt;=Capacity_65_Mbtuh,K26,Min_EER_65*D3))))</f>
        <v>14.338000000000001</v>
      </c>
      <c r="E27" s="228"/>
      <c r="F27" s="228"/>
      <c r="G27" s="43"/>
      <c r="H27" s="30"/>
      <c r="J27" s="44" t="s">
        <v>3</v>
      </c>
      <c r="K27" s="36" t="s">
        <v>73</v>
      </c>
    </row>
    <row r="28" spans="1:18" hidden="1" x14ac:dyDescent="0.25">
      <c r="C28" s="215" t="s">
        <v>74</v>
      </c>
      <c r="D28" s="216" t="str">
        <f>IF(Efficiency_Rating=IEER,"0",IF(Efficiency_Rating=J28,"0",IF(Efficiency_Rating=EER,"0",IF(Efficiency_Rating=SEER2,IF(System_Capacity__Mbtuh&gt;=Capacity_65_Mbtuh,K26,Min_EER_65*D3/SEER_Factor)))))</f>
        <v>0</v>
      </c>
      <c r="E28" s="228"/>
      <c r="F28" s="228"/>
      <c r="G28" s="43"/>
      <c r="H28" s="30"/>
      <c r="J28" s="44" t="s">
        <v>75</v>
      </c>
      <c r="K28" s="36" t="s">
        <v>76</v>
      </c>
    </row>
    <row r="29" spans="1:18" hidden="1" x14ac:dyDescent="0.25">
      <c r="B29" s="36" t="s">
        <v>77</v>
      </c>
      <c r="C29" s="215" t="s">
        <v>78</v>
      </c>
      <c r="D29" s="216" t="str">
        <f>IF(Efficiency_Rating=SEER2,"0",IF(Efficiency_Rating=EER,"0",IF(Efficiency_Rating=J28,"0",IF(System_Capacity__Mbtuh&lt;Capacity_65_Mbtuh,K25,IF(Efficiency_Rating=IEER,IF(System_Capacity__Mbtuh&gt;=Capacity_65_Mbtuh,IF(System_Capacity__Mbtuh&lt;Capacity_135_Mbtuh,G6*D3,IF(Efficiency_Rating=IEER,IF(System_Capacity__Mbtuh&gt;=Capacity_135_Mbtuh,IF(System_Capacity__Mbtuh&lt;Capacity_240_Mbtuh,G7*D3,IF(Efficiency_Rating=IEER,IF(System_Capacity__Mbtuh&gt;=Capacity_240_Mbtuh,IF(System_Capacity__Mbtuh&lt;Capacity_760_Mbtuh,G8*D3,IF(Efficiency_Rating=IEER,IF(System_Capacity__Mbtuh&gt;=Capacity_760_Mbtuh,G9*D3)))))))))))))))</f>
        <v>0</v>
      </c>
      <c r="E29" s="228"/>
      <c r="F29" s="228"/>
      <c r="G29" s="45"/>
      <c r="H29" s="30"/>
      <c r="K29" s="36" t="s">
        <v>79</v>
      </c>
    </row>
    <row r="30" spans="1:18" ht="18.75" hidden="1" x14ac:dyDescent="0.25">
      <c r="C30" s="215" t="s">
        <v>80</v>
      </c>
      <c r="D30" s="216">
        <f>IF(Efficiency_Rating=EER,D26/D3,IF(Efficiency_Rating=SEER2,D28/D3/SEER_Factor,IF(Efficiency_Rating=IEER,D29/D3,IF(Efficiency_Rating=J28,D27/D3))))</f>
        <v>13.4</v>
      </c>
      <c r="E30" s="228"/>
      <c r="F30" s="228"/>
      <c r="G30" s="45"/>
      <c r="H30" s="30" t="s">
        <v>81</v>
      </c>
      <c r="N30" s="31"/>
    </row>
    <row r="31" spans="1:18" hidden="1" x14ac:dyDescent="0.25">
      <c r="C31" s="215" t="s">
        <v>82</v>
      </c>
      <c r="D31" s="216">
        <f>IF(Efficiency_Rating=SEER2,New_EER_SEER2_IEER/SEER_Factor,New_EER_SEER2_IEER)</f>
        <v>17</v>
      </c>
      <c r="E31" s="228"/>
      <c r="F31" s="228"/>
      <c r="G31" s="45"/>
      <c r="H31" s="30" t="s">
        <v>83</v>
      </c>
    </row>
    <row r="32" spans="1:18" ht="48.75" hidden="1" customHeight="1" x14ac:dyDescent="0.25">
      <c r="C32" s="215" t="s">
        <v>84</v>
      </c>
      <c r="D32" s="217" t="str">
        <f>IF(AND(Efficiency_Rating=EER,Calculated_New_Efficiency&lt;D26),J32,IF(AND(Efficiency_Rating=J28,Calculated_New_Efficiency&lt;D27),J32,IF(AND(Efficiency_Rating=SEER2,Calculated_New_Efficiency&lt;D28),J32,IF(AND(Efficiency_Rating=IEER,Calculated_New_Efficiency&lt;D29),J32,J33))))</f>
        <v>Qualify</v>
      </c>
      <c r="E32" s="229"/>
      <c r="F32" s="229"/>
      <c r="G32" s="45"/>
      <c r="H32" s="30"/>
      <c r="J32" s="44" t="s">
        <v>85</v>
      </c>
      <c r="K32" s="36" t="s">
        <v>86</v>
      </c>
    </row>
    <row r="33" spans="2:10" x14ac:dyDescent="0.25">
      <c r="J33" s="44" t="s">
        <v>87</v>
      </c>
    </row>
    <row r="34" spans="2:10" ht="23.25" x14ac:dyDescent="0.35">
      <c r="C34" s="239" t="s">
        <v>88</v>
      </c>
      <c r="D34" s="239"/>
      <c r="E34" s="239"/>
      <c r="F34" s="238"/>
      <c r="G34" s="46"/>
    </row>
    <row r="35" spans="2:10" ht="15.95" customHeight="1" x14ac:dyDescent="0.3">
      <c r="C35" s="247" t="s">
        <v>89</v>
      </c>
      <c r="D35" s="240" t="s">
        <v>75</v>
      </c>
      <c r="E35" s="239"/>
      <c r="F35" s="235"/>
      <c r="G35" s="218"/>
    </row>
    <row r="36" spans="2:10" ht="15.95" customHeight="1" x14ac:dyDescent="0.3">
      <c r="C36" s="247" t="s">
        <v>60</v>
      </c>
      <c r="D36" s="240" t="s">
        <v>61</v>
      </c>
      <c r="E36" s="239"/>
      <c r="F36" s="235"/>
      <c r="G36" s="219"/>
    </row>
    <row r="37" spans="2:10" ht="15.95" customHeight="1" x14ac:dyDescent="0.3">
      <c r="C37" s="247" t="s">
        <v>90</v>
      </c>
      <c r="D37" s="240" t="s">
        <v>63</v>
      </c>
      <c r="E37" s="239"/>
      <c r="F37" s="235"/>
      <c r="G37" s="219"/>
      <c r="H37" s="47" t="s">
        <v>91</v>
      </c>
    </row>
    <row r="38" spans="2:10" ht="15.95" customHeight="1" x14ac:dyDescent="0.35">
      <c r="C38" s="247" t="s">
        <v>92</v>
      </c>
      <c r="D38" s="240">
        <v>36</v>
      </c>
      <c r="E38" s="239">
        <v>1.34</v>
      </c>
      <c r="F38" s="253" t="str">
        <f>IF(D38&lt;65,"SELECT SEER/SEER2 FOR SYSTEM CAPACITY LESS THAN 65 MBTUH","")</f>
        <v>SELECT SEER/SEER2 FOR SYSTEM CAPACITY LESS THAN 65 MBTUH</v>
      </c>
      <c r="G38" s="46"/>
    </row>
    <row r="39" spans="2:10" ht="15.95" customHeight="1" x14ac:dyDescent="0.35">
      <c r="C39" s="247" t="s">
        <v>93</v>
      </c>
      <c r="D39" s="240">
        <v>17</v>
      </c>
      <c r="E39" s="239">
        <v>14.3</v>
      </c>
      <c r="F39" s="235"/>
      <c r="G39" s="46"/>
    </row>
    <row r="40" spans="2:10" ht="15.95" customHeight="1" x14ac:dyDescent="0.35">
      <c r="C40" s="247" t="s">
        <v>94</v>
      </c>
      <c r="D40" s="241">
        <v>3</v>
      </c>
      <c r="E40" s="239"/>
      <c r="F40" s="235"/>
      <c r="G40" s="46"/>
    </row>
    <row r="41" spans="2:10" ht="15.95" customHeight="1" x14ac:dyDescent="0.35">
      <c r="C41" s="248"/>
      <c r="D41" s="242"/>
      <c r="E41" s="230"/>
      <c r="F41" s="230"/>
      <c r="G41" s="46"/>
    </row>
    <row r="42" spans="2:10" ht="23.25" x14ac:dyDescent="0.35">
      <c r="C42" s="249" t="s">
        <v>95</v>
      </c>
      <c r="D42" s="231"/>
      <c r="E42" s="230"/>
      <c r="F42" s="237" t="s">
        <v>96</v>
      </c>
      <c r="G42" s="48"/>
      <c r="H42" s="36"/>
    </row>
    <row r="43" spans="2:10" ht="0.75" customHeight="1" x14ac:dyDescent="0.25">
      <c r="C43" s="231"/>
      <c r="D43" s="231"/>
      <c r="E43" s="230"/>
      <c r="F43" s="231"/>
      <c r="G43" s="220"/>
      <c r="H43" s="36"/>
    </row>
    <row r="44" spans="2:10" x14ac:dyDescent="0.25">
      <c r="B44" s="36" t="s">
        <v>97</v>
      </c>
      <c r="C44" s="250" t="s">
        <v>98</v>
      </c>
      <c r="D44" s="243">
        <f>IF(Water_Cooled="yes",KW_reduction_at_meter*Water_Cooled_Weighted_Average,KW_reduction_at_meter)</f>
        <v>0.50576997366110621</v>
      </c>
      <c r="E44" s="230"/>
      <c r="F44" s="232">
        <f>+D44*$D$40</f>
        <v>1.5173099209833185</v>
      </c>
      <c r="G44" s="221">
        <f>IF(D32=J32,J32,IF(Efficiency_Rating=EER,((System_Capacity__Mbtuh/12)*(12/Calculated_Base_Efficiency-12/Calculated_New_Efficiency))*BES_Factor,IF(Efficiency_Rating=J28,((System_Capacity__Mbtuh/12)*(12/Calculated_Base_Efficiency-12/Calculated_New_Efficiency))*BES_Factor,IF(Efficiency_Rating=IEER,IF(Calculated_New_Efficiency&lt;=Calculated_Base_Efficiency,J32,(System_Capacity__Mbtuh/12)*(12/(Calculated_Base_Efficiency)-12/Calculated_New_Efficiency))*BES_Factor,IF(Efficiency_Rating=SEER2,(System_Capacity__Mbtuh/12)*(12/Calculated_Base_Efficiency-12/Calculated_New_Efficiency))*BES_Factor))))</f>
        <v>0.50576997366110621</v>
      </c>
      <c r="H44" s="49"/>
    </row>
    <row r="45" spans="2:10" x14ac:dyDescent="0.25">
      <c r="C45" s="250" t="s">
        <v>99</v>
      </c>
      <c r="D45" s="243">
        <f>IF(Water_Cooled="yes",Summer_KW_reduction__SKW*Water_Cooled_Weighted_Average,Summer_KW_reduction__SKW)</f>
        <v>0.50576997366110621</v>
      </c>
      <c r="E45" s="230"/>
      <c r="F45" s="232">
        <f t="shared" ref="F45:F46" si="0">+D45*$D$40</f>
        <v>1.5173099209833185</v>
      </c>
      <c r="G45" s="221">
        <f>IF(D32=J32,J32,KW_reduction_at_meter*Summer_kW_Factor)</f>
        <v>0.50576997366110621</v>
      </c>
      <c r="H45" s="50"/>
    </row>
    <row r="46" spans="2:10" x14ac:dyDescent="0.25">
      <c r="C46" s="250" t="s">
        <v>100</v>
      </c>
      <c r="D46" s="243">
        <f>IF(Water_Cooled="yes",Winter_KW_reduction__WKW*Water_Cooled_Weighted_Average,Winter_KW_reduction__WKW)</f>
        <v>0.49717188410886742</v>
      </c>
      <c r="E46" s="230"/>
      <c r="F46" s="232">
        <f t="shared" si="0"/>
        <v>1.4915156523266022</v>
      </c>
      <c r="G46" s="221">
        <f>IF(D32=J32,J32,IF(D36=D22,KW_reduction_at_meter*Winter_kW_Factor,0))</f>
        <v>0.49717188410886742</v>
      </c>
      <c r="H46" s="49"/>
    </row>
    <row r="47" spans="2:10" x14ac:dyDescent="0.25">
      <c r="C47" s="250" t="s">
        <v>101</v>
      </c>
      <c r="D47" s="243">
        <f>IF(Water_Cooled="yes",kWh_reduction__KWH*Water_Cooled_Weighted_Average,kWh_reduction__KWH)</f>
        <v>1920.0545510096576</v>
      </c>
      <c r="E47" s="230"/>
      <c r="F47" s="232">
        <f>+D47*D40</f>
        <v>5760.1636530289725</v>
      </c>
      <c r="G47" s="221">
        <f>IF(D32=J32,J32,Summer_KW_reduction__SKW*DX_kWh)</f>
        <v>1920.0545510096576</v>
      </c>
      <c r="H47" s="50"/>
    </row>
    <row r="48" spans="2:10" x14ac:dyDescent="0.25">
      <c r="C48" s="250" t="s">
        <v>102</v>
      </c>
      <c r="D48" s="244">
        <f>IF(Water_Cooled="yes",Rebate_amount*D24,Rebate_amount)</f>
        <v>83.452045654082525</v>
      </c>
      <c r="E48" s="230"/>
      <c r="F48" s="233">
        <f>+D48*D40</f>
        <v>250.35613696224758</v>
      </c>
      <c r="G48" s="222">
        <f>IF(Summer_KW_reduction__SKW="DNQ",0,Summer_KW_reduction__SKW*FPL_Rebate)</f>
        <v>83.452045654082525</v>
      </c>
      <c r="H48" s="49"/>
    </row>
    <row r="49" spans="1:26" hidden="1" x14ac:dyDescent="0.25">
      <c r="C49" s="35" t="s">
        <v>103</v>
      </c>
      <c r="D49" s="234">
        <f>IF(Rebate_amount&lt;=150,150,Rebate_amount)</f>
        <v>150</v>
      </c>
      <c r="E49" s="230"/>
      <c r="F49" s="234"/>
      <c r="G49" s="51"/>
      <c r="H49" s="28" t="s">
        <v>104</v>
      </c>
    </row>
    <row r="50" spans="1:26" x14ac:dyDescent="0.25">
      <c r="E50" s="230"/>
    </row>
    <row r="51" spans="1:26" ht="15.75" customHeight="1" x14ac:dyDescent="0.25">
      <c r="C51" s="251" t="s">
        <v>105</v>
      </c>
      <c r="D51" s="245" t="s">
        <v>106</v>
      </c>
      <c r="E51" s="245"/>
      <c r="F51" s="180"/>
    </row>
    <row r="52" spans="1:26" ht="15.75" customHeight="1" x14ac:dyDescent="0.25">
      <c r="C52" s="245" t="s">
        <v>107</v>
      </c>
      <c r="D52" s="246" t="s">
        <v>108</v>
      </c>
      <c r="E52" s="245"/>
      <c r="F52" s="236"/>
    </row>
    <row r="53" spans="1:26" ht="15.75" customHeight="1" x14ac:dyDescent="0.25">
      <c r="D53" s="246" t="s">
        <v>109</v>
      </c>
      <c r="E53" s="245"/>
      <c r="F53" s="236"/>
    </row>
    <row r="54" spans="1:26" ht="15.75" customHeight="1" x14ac:dyDescent="0.25">
      <c r="C54" s="245" t="s">
        <v>110</v>
      </c>
      <c r="D54" s="246" t="s">
        <v>111</v>
      </c>
      <c r="E54" s="245"/>
      <c r="F54" s="236"/>
    </row>
    <row r="55" spans="1:26" ht="15.75" customHeight="1" x14ac:dyDescent="0.25">
      <c r="C55" s="252"/>
      <c r="D55" s="246" t="s">
        <v>112</v>
      </c>
      <c r="E55" s="245"/>
      <c r="F55" s="236"/>
    </row>
    <row r="56" spans="1:26" x14ac:dyDescent="0.25">
      <c r="C56" s="29"/>
      <c r="D56" s="180" t="s">
        <v>106</v>
      </c>
      <c r="E56" s="245"/>
      <c r="F56" s="180"/>
    </row>
    <row r="57" spans="1:26" s="29" customFormat="1" ht="13.5" hidden="1" thickBo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3" t="s">
        <v>113</v>
      </c>
      <c r="W57" s="54"/>
      <c r="X57" s="54"/>
      <c r="Y57" s="54"/>
      <c r="Z57" s="55"/>
    </row>
    <row r="58" spans="1:26" s="29" customFormat="1" ht="13.5" hidden="1" thickTop="1" x14ac:dyDescent="0.2">
      <c r="A58" s="52"/>
      <c r="B58" s="56" t="s">
        <v>114</v>
      </c>
      <c r="C58" s="57" t="s">
        <v>115</v>
      </c>
      <c r="D58" s="58" t="s">
        <v>116</v>
      </c>
      <c r="E58" s="59"/>
      <c r="F58" s="59"/>
      <c r="G58" s="59"/>
      <c r="H58" s="60" t="s">
        <v>117</v>
      </c>
      <c r="I58" s="61"/>
      <c r="J58" s="62"/>
      <c r="K58" s="60" t="s">
        <v>118</v>
      </c>
      <c r="L58" s="61"/>
      <c r="M58" s="62"/>
      <c r="N58" s="60" t="s">
        <v>119</v>
      </c>
      <c r="O58" s="61"/>
      <c r="P58" s="63"/>
      <c r="Q58" s="60" t="s">
        <v>120</v>
      </c>
      <c r="R58" s="61"/>
      <c r="S58" s="62"/>
      <c r="T58" s="61" t="s">
        <v>121</v>
      </c>
      <c r="U58" s="61"/>
      <c r="V58" s="64">
        <v>0.82</v>
      </c>
      <c r="W58" s="34"/>
      <c r="X58" s="34"/>
      <c r="Y58" s="34"/>
      <c r="Z58" s="65"/>
    </row>
    <row r="59" spans="1:26" s="29" customFormat="1" hidden="1" x14ac:dyDescent="0.2">
      <c r="A59" s="52"/>
      <c r="B59" s="66" t="s">
        <v>122</v>
      </c>
      <c r="C59" s="67" t="s">
        <v>123</v>
      </c>
      <c r="D59" s="68">
        <v>7.0000000000000007E-2</v>
      </c>
      <c r="E59" s="68"/>
      <c r="F59" s="68"/>
      <c r="G59" s="68"/>
      <c r="H59" s="69" t="s">
        <v>124</v>
      </c>
      <c r="I59" s="70"/>
      <c r="J59" s="71" t="s">
        <v>125</v>
      </c>
      <c r="K59" s="72" t="s">
        <v>124</v>
      </c>
      <c r="L59" s="73"/>
      <c r="M59" s="71" t="s">
        <v>125</v>
      </c>
      <c r="N59" s="72" t="s">
        <v>124</v>
      </c>
      <c r="O59" s="73"/>
      <c r="P59" s="71" t="s">
        <v>125</v>
      </c>
      <c r="Q59" s="72" t="s">
        <v>124</v>
      </c>
      <c r="R59" s="73"/>
      <c r="S59" s="71" t="s">
        <v>126</v>
      </c>
      <c r="T59" s="72" t="s">
        <v>127</v>
      </c>
      <c r="U59" s="73"/>
      <c r="V59" s="71" t="s">
        <v>126</v>
      </c>
      <c r="W59" s="34"/>
      <c r="X59" s="34"/>
      <c r="Y59" s="34"/>
    </row>
    <row r="60" spans="1:26" s="29" customFormat="1" ht="13.5" hidden="1" thickBot="1" x14ac:dyDescent="0.25">
      <c r="A60" s="52"/>
      <c r="B60" s="74">
        <v>165</v>
      </c>
      <c r="C60" s="75">
        <v>0.88900000000000001</v>
      </c>
      <c r="D60" s="67" t="s">
        <v>128</v>
      </c>
      <c r="E60" s="69"/>
      <c r="F60" s="69"/>
      <c r="G60" s="69"/>
      <c r="H60" s="76">
        <v>9.6999999999999993</v>
      </c>
      <c r="I60" s="77"/>
      <c r="J60" s="78">
        <f>H60*(1+$D$59)-0.4</f>
        <v>9.9789999999999992</v>
      </c>
      <c r="K60" s="79">
        <v>10</v>
      </c>
      <c r="L60" s="80"/>
      <c r="M60" s="78">
        <f>K60*(1+$D$59)-0.2</f>
        <v>10.500000000000002</v>
      </c>
      <c r="N60" s="79">
        <v>11</v>
      </c>
      <c r="O60" s="80"/>
      <c r="P60" s="78">
        <f>N60*(1+$D$59)-0.3</f>
        <v>11.47</v>
      </c>
      <c r="Q60" s="81">
        <v>11.2</v>
      </c>
      <c r="R60" s="81"/>
      <c r="S60" s="78">
        <f>Q60*(1+$D$59)</f>
        <v>11.984</v>
      </c>
      <c r="T60" s="82">
        <v>13.4</v>
      </c>
      <c r="U60" s="83"/>
      <c r="V60" s="84">
        <f>T60*(1+$D$59)-0.3</f>
        <v>14.038</v>
      </c>
      <c r="W60" s="85"/>
      <c r="X60" s="85"/>
      <c r="Y60" s="85"/>
    </row>
    <row r="61" spans="1:26" s="29" customFormat="1" ht="21" hidden="1" thickTop="1" x14ac:dyDescent="0.3">
      <c r="A61" s="86"/>
      <c r="B61" s="265" t="s">
        <v>129</v>
      </c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34" t="s">
        <v>130</v>
      </c>
      <c r="X61" s="34" t="s">
        <v>130</v>
      </c>
      <c r="Y61" s="34" t="s">
        <v>130</v>
      </c>
    </row>
    <row r="62" spans="1:26" s="29" customFormat="1" ht="12.75" hidden="1" x14ac:dyDescent="0.2">
      <c r="A62" s="52"/>
      <c r="B62" s="267" t="s">
        <v>131</v>
      </c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87"/>
      <c r="X62" s="87"/>
      <c r="Y62" s="87"/>
      <c r="Z62" s="87"/>
    </row>
    <row r="63" spans="1:26" s="29" customFormat="1" ht="12.75" hidden="1" x14ac:dyDescent="0.2">
      <c r="A63" s="52"/>
      <c r="B63" s="88">
        <v>1</v>
      </c>
      <c r="C63" s="181">
        <v>2</v>
      </c>
      <c r="D63" s="181">
        <v>3</v>
      </c>
      <c r="E63" s="181"/>
      <c r="F63" s="181"/>
      <c r="G63" s="181"/>
      <c r="H63" s="88">
        <v>4</v>
      </c>
      <c r="I63" s="181">
        <v>5</v>
      </c>
      <c r="J63" s="181">
        <v>6</v>
      </c>
      <c r="K63" s="88">
        <v>7</v>
      </c>
      <c r="L63" s="181">
        <v>8</v>
      </c>
      <c r="M63" s="181">
        <v>9</v>
      </c>
      <c r="N63" s="88">
        <v>10</v>
      </c>
      <c r="O63" s="181">
        <v>11</v>
      </c>
      <c r="P63" s="181">
        <v>12</v>
      </c>
      <c r="Q63" s="88">
        <v>13</v>
      </c>
      <c r="R63" s="181">
        <v>14</v>
      </c>
      <c r="S63" s="181">
        <v>15</v>
      </c>
      <c r="T63" s="88">
        <v>16</v>
      </c>
      <c r="U63" s="181">
        <v>17</v>
      </c>
      <c r="V63" s="181">
        <v>18</v>
      </c>
      <c r="W63" s="87" t="s">
        <v>130</v>
      </c>
      <c r="X63" s="87" t="s">
        <v>130</v>
      </c>
      <c r="Y63" s="87" t="s">
        <v>130</v>
      </c>
      <c r="Z63" s="87"/>
    </row>
    <row r="64" spans="1:26" s="29" customFormat="1" ht="12.75" hidden="1" x14ac:dyDescent="0.2">
      <c r="A64" s="52"/>
      <c r="B64" s="89" t="s">
        <v>132</v>
      </c>
      <c r="C64" s="182"/>
      <c r="D64" s="90"/>
      <c r="E64" s="182"/>
      <c r="F64" s="182"/>
      <c r="G64" s="182"/>
      <c r="H64" s="269"/>
      <c r="I64" s="270"/>
      <c r="J64" s="270"/>
      <c r="K64" s="270"/>
      <c r="L64" s="270"/>
      <c r="M64" s="270"/>
      <c r="N64" s="270"/>
      <c r="O64" s="270"/>
      <c r="P64" s="270"/>
      <c r="Q64" s="271"/>
      <c r="R64" s="92"/>
      <c r="S64" s="93"/>
      <c r="T64" s="94"/>
      <c r="U64" s="91"/>
      <c r="V64" s="95"/>
      <c r="W64" s="34"/>
      <c r="X64" s="34"/>
      <c r="Y64" s="34"/>
    </row>
    <row r="65" spans="1:26" s="29" customFormat="1" ht="12.75" hidden="1" x14ac:dyDescent="0.2">
      <c r="A65" s="52"/>
      <c r="B65" s="96" t="s">
        <v>133</v>
      </c>
      <c r="C65" s="97"/>
      <c r="D65" s="97"/>
      <c r="E65" s="97"/>
      <c r="F65" s="97"/>
      <c r="G65" s="97"/>
      <c r="H65" s="272" t="s">
        <v>134</v>
      </c>
      <c r="I65" s="273"/>
      <c r="J65" s="274"/>
      <c r="K65" s="275" t="s">
        <v>135</v>
      </c>
      <c r="L65" s="276"/>
      <c r="M65" s="277"/>
      <c r="N65" s="275" t="s">
        <v>136</v>
      </c>
      <c r="O65" s="276"/>
      <c r="P65" s="277"/>
      <c r="Q65" s="275" t="s">
        <v>137</v>
      </c>
      <c r="R65" s="276"/>
      <c r="S65" s="277"/>
      <c r="T65" s="275" t="s">
        <v>138</v>
      </c>
      <c r="U65" s="276"/>
      <c r="V65" s="277"/>
      <c r="Z65" s="98"/>
    </row>
    <row r="66" spans="1:26" s="29" customFormat="1" ht="12.75" hidden="1" x14ac:dyDescent="0.2">
      <c r="A66" s="52"/>
      <c r="B66" s="99" t="s">
        <v>139</v>
      </c>
      <c r="C66" s="183"/>
      <c r="D66" s="183"/>
      <c r="E66" s="183"/>
      <c r="F66" s="183"/>
      <c r="G66" s="183"/>
      <c r="H66" s="262" t="s">
        <v>140</v>
      </c>
      <c r="I66" s="263"/>
      <c r="J66" s="264"/>
      <c r="K66" s="254" t="s">
        <v>141</v>
      </c>
      <c r="L66" s="255"/>
      <c r="M66" s="256"/>
      <c r="N66" s="257" t="s">
        <v>142</v>
      </c>
      <c r="O66" s="258"/>
      <c r="P66" s="259"/>
      <c r="Q66" s="257" t="s">
        <v>143</v>
      </c>
      <c r="R66" s="258"/>
      <c r="S66" s="256"/>
      <c r="T66" s="260" t="s">
        <v>144</v>
      </c>
      <c r="U66" s="261"/>
      <c r="V66" s="256"/>
      <c r="Z66" s="98"/>
    </row>
    <row r="67" spans="1:26" s="29" customFormat="1" ht="12.75" hidden="1" x14ac:dyDescent="0.2">
      <c r="A67" s="52"/>
      <c r="B67" s="100"/>
      <c r="C67" s="101"/>
      <c r="D67" s="102"/>
      <c r="E67" s="103"/>
      <c r="F67" s="103"/>
      <c r="G67" s="103"/>
      <c r="H67" s="104"/>
      <c r="I67" s="105"/>
      <c r="J67" s="106"/>
      <c r="K67" s="107"/>
      <c r="L67" s="105"/>
      <c r="M67" s="108"/>
      <c r="N67" s="109"/>
      <c r="O67" s="110"/>
      <c r="P67" s="111"/>
      <c r="Q67" s="109"/>
      <c r="R67" s="110"/>
      <c r="S67" s="108"/>
      <c r="T67" s="112"/>
      <c r="U67" s="113"/>
      <c r="V67" s="108"/>
      <c r="Z67" s="34"/>
    </row>
    <row r="68" spans="1:26" s="29" customFormat="1" ht="12.75" hidden="1" x14ac:dyDescent="0.2">
      <c r="A68" s="52"/>
      <c r="B68" s="114" t="s">
        <v>145</v>
      </c>
      <c r="C68" s="115" t="s">
        <v>145</v>
      </c>
      <c r="D68" s="116" t="s">
        <v>145</v>
      </c>
      <c r="E68" s="117"/>
      <c r="F68" s="117"/>
      <c r="G68" s="117"/>
      <c r="H68" s="118" t="s">
        <v>146</v>
      </c>
      <c r="I68" s="119"/>
      <c r="J68" s="120" t="s">
        <v>147</v>
      </c>
      <c r="K68" s="118" t="s">
        <v>148</v>
      </c>
      <c r="L68" s="119"/>
      <c r="M68" s="121" t="s">
        <v>147</v>
      </c>
      <c r="N68" s="122" t="s">
        <v>114</v>
      </c>
      <c r="O68" s="123"/>
      <c r="P68" s="124" t="s">
        <v>147</v>
      </c>
      <c r="Q68" s="122" t="s">
        <v>114</v>
      </c>
      <c r="R68" s="123"/>
      <c r="S68" s="121" t="s">
        <v>147</v>
      </c>
      <c r="T68" s="125" t="s">
        <v>114</v>
      </c>
      <c r="U68" s="126"/>
      <c r="V68" s="121" t="s">
        <v>147</v>
      </c>
      <c r="W68" s="65"/>
      <c r="X68" s="65"/>
      <c r="Y68" s="65"/>
      <c r="Z68" s="98"/>
    </row>
    <row r="69" spans="1:26" s="29" customFormat="1" ht="13.5" hidden="1" thickBot="1" x14ac:dyDescent="0.25">
      <c r="A69" s="53"/>
      <c r="B69" s="127" t="s">
        <v>149</v>
      </c>
      <c r="C69" s="128" t="s">
        <v>150</v>
      </c>
      <c r="D69" s="128" t="s">
        <v>151</v>
      </c>
      <c r="E69" s="129"/>
      <c r="F69" s="129"/>
      <c r="G69" s="129"/>
      <c r="H69" s="130" t="s">
        <v>152</v>
      </c>
      <c r="I69" s="131" t="s">
        <v>153</v>
      </c>
      <c r="J69" s="132" t="s">
        <v>154</v>
      </c>
      <c r="K69" s="130" t="s">
        <v>152</v>
      </c>
      <c r="L69" s="131" t="s">
        <v>153</v>
      </c>
      <c r="M69" s="133" t="s">
        <v>154</v>
      </c>
      <c r="N69" s="134" t="s">
        <v>152</v>
      </c>
      <c r="O69" s="131" t="s">
        <v>153</v>
      </c>
      <c r="P69" s="135" t="s">
        <v>154</v>
      </c>
      <c r="Q69" s="134" t="s">
        <v>152</v>
      </c>
      <c r="R69" s="131" t="s">
        <v>153</v>
      </c>
      <c r="S69" s="133" t="s">
        <v>154</v>
      </c>
      <c r="T69" s="136" t="s">
        <v>152</v>
      </c>
      <c r="U69" s="131" t="s">
        <v>153</v>
      </c>
      <c r="V69" s="133" t="s">
        <v>154</v>
      </c>
      <c r="W69" s="65"/>
      <c r="X69" s="65"/>
      <c r="Y69" s="65"/>
      <c r="Z69" s="98"/>
    </row>
    <row r="70" spans="1:26" s="29" customFormat="1" ht="12.75" hidden="1" x14ac:dyDescent="0.2">
      <c r="A70" s="53"/>
      <c r="B70" s="137">
        <v>10</v>
      </c>
      <c r="C70" s="138">
        <v>1.2</v>
      </c>
      <c r="D70" s="139">
        <v>2.9308323563892147</v>
      </c>
      <c r="E70" s="140"/>
      <c r="F70" s="140"/>
      <c r="G70" s="140"/>
      <c r="H70" s="141">
        <v>0.61875000000000002</v>
      </c>
      <c r="I70" s="142">
        <v>7.4250000000000007</v>
      </c>
      <c r="J70" s="143">
        <v>2.8E-3</v>
      </c>
      <c r="K70" s="141"/>
      <c r="L70" s="142"/>
      <c r="M70" s="143"/>
      <c r="N70" s="141"/>
      <c r="O70" s="142"/>
      <c r="P70" s="143"/>
      <c r="Q70" s="141"/>
      <c r="R70" s="142"/>
      <c r="S70" s="143"/>
      <c r="T70" s="141"/>
      <c r="U70" s="142"/>
      <c r="V70" s="143"/>
      <c r="W70" s="65"/>
      <c r="X70" s="65"/>
      <c r="Y70" s="65"/>
      <c r="Z70" s="98"/>
    </row>
    <row r="71" spans="1:26" s="29" customFormat="1" ht="12.75" hidden="1" x14ac:dyDescent="0.2">
      <c r="A71" s="53"/>
      <c r="B71" s="144">
        <v>10.5</v>
      </c>
      <c r="C71" s="145">
        <v>1.143</v>
      </c>
      <c r="D71" s="146">
        <v>3.0773739742086752</v>
      </c>
      <c r="E71" s="147"/>
      <c r="F71" s="147"/>
      <c r="G71" s="147"/>
      <c r="H71" s="148">
        <v>1.31175</v>
      </c>
      <c r="I71" s="149">
        <v>15.741</v>
      </c>
      <c r="J71" s="150">
        <v>7.0000000000000001E-3</v>
      </c>
      <c r="K71" s="148">
        <v>0.84149999999999991</v>
      </c>
      <c r="L71" s="149">
        <v>10.097999999999999</v>
      </c>
      <c r="M71" s="150">
        <v>4.1999999999999997E-3</v>
      </c>
      <c r="N71" s="148"/>
      <c r="O71" s="149"/>
      <c r="P71" s="150"/>
      <c r="Q71" s="148"/>
      <c r="R71" s="149"/>
      <c r="S71" s="150"/>
      <c r="T71" s="148"/>
      <c r="U71" s="149"/>
      <c r="V71" s="150"/>
      <c r="W71" s="65"/>
      <c r="X71" s="65"/>
      <c r="Y71" s="65"/>
      <c r="Z71" s="98"/>
    </row>
    <row r="72" spans="1:26" s="29" customFormat="1" ht="12.75" hidden="1" x14ac:dyDescent="0.2">
      <c r="A72" s="53"/>
      <c r="B72" s="144">
        <v>11</v>
      </c>
      <c r="C72" s="145">
        <v>1.091</v>
      </c>
      <c r="D72" s="146">
        <v>3.2239155920281362</v>
      </c>
      <c r="E72" s="147"/>
      <c r="F72" s="147"/>
      <c r="G72" s="147"/>
      <c r="H72" s="148">
        <v>1.5202222222222224</v>
      </c>
      <c r="I72" s="149">
        <v>18.242666666666668</v>
      </c>
      <c r="J72" s="150">
        <v>1.0800000000000001E-2</v>
      </c>
      <c r="K72" s="148">
        <v>1.4850000000000001</v>
      </c>
      <c r="L72" s="149">
        <v>17.82</v>
      </c>
      <c r="M72" s="150">
        <v>8.0999999999999996E-3</v>
      </c>
      <c r="N72" s="148"/>
      <c r="O72" s="149"/>
      <c r="P72" s="150"/>
      <c r="Q72" s="148"/>
      <c r="R72" s="149"/>
      <c r="S72" s="150"/>
      <c r="T72" s="148"/>
      <c r="U72" s="149"/>
      <c r="V72" s="150"/>
      <c r="W72" s="65"/>
      <c r="X72" s="65"/>
      <c r="Y72" s="65"/>
      <c r="Z72" s="98"/>
    </row>
    <row r="73" spans="1:26" s="29" customFormat="1" ht="12.75" hidden="1" x14ac:dyDescent="0.2">
      <c r="A73" s="53"/>
      <c r="B73" s="144">
        <v>11.5</v>
      </c>
      <c r="C73" s="145">
        <v>1.0429999999999999</v>
      </c>
      <c r="D73" s="146">
        <v>3.3704572098475967</v>
      </c>
      <c r="E73" s="147"/>
      <c r="F73" s="147"/>
      <c r="G73" s="147"/>
      <c r="H73" s="148">
        <v>1.641375</v>
      </c>
      <c r="I73" s="149">
        <v>19.6965</v>
      </c>
      <c r="J73" s="150">
        <v>1.44E-2</v>
      </c>
      <c r="K73" s="148">
        <v>1.6027222222222222</v>
      </c>
      <c r="L73" s="149">
        <v>19.232666666666667</v>
      </c>
      <c r="M73" s="150">
        <v>1.1599999999999999E-2</v>
      </c>
      <c r="N73" s="148">
        <v>0.71775</v>
      </c>
      <c r="O73" s="149">
        <v>8.6129999999999995</v>
      </c>
      <c r="P73" s="150">
        <v>3.5999999999999999E-3</v>
      </c>
      <c r="Q73" s="148"/>
      <c r="R73" s="149"/>
      <c r="S73" s="150"/>
      <c r="T73" s="148"/>
      <c r="U73" s="149"/>
      <c r="V73" s="150"/>
      <c r="W73" s="65"/>
      <c r="X73" s="65"/>
      <c r="Y73" s="65"/>
      <c r="Z73" s="98"/>
    </row>
    <row r="74" spans="1:26" s="29" customFormat="1" ht="12.75" hidden="1" x14ac:dyDescent="0.2">
      <c r="A74" s="53"/>
      <c r="B74" s="144">
        <v>12</v>
      </c>
      <c r="C74" s="145">
        <v>1</v>
      </c>
      <c r="D74" s="146">
        <v>3.5169988276670576</v>
      </c>
      <c r="E74" s="147"/>
      <c r="F74" s="147"/>
      <c r="G74" s="147"/>
      <c r="H74" s="148">
        <v>1.8170833333333334</v>
      </c>
      <c r="I74" s="149">
        <v>21.805</v>
      </c>
      <c r="J74" s="150">
        <v>1.7600000000000001E-2</v>
      </c>
      <c r="K74" s="148">
        <v>1.76</v>
      </c>
      <c r="L74" s="149">
        <v>21.12</v>
      </c>
      <c r="M74" s="150">
        <v>1.4800000000000001E-2</v>
      </c>
      <c r="N74" s="148">
        <v>1.2292500000000002</v>
      </c>
      <c r="O74" s="149">
        <v>14.751000000000001</v>
      </c>
      <c r="P74" s="150">
        <v>6.7000000000000002E-3</v>
      </c>
      <c r="Q74" s="148">
        <v>0.69299999999999995</v>
      </c>
      <c r="R74" s="149">
        <v>8.3159999999999989</v>
      </c>
      <c r="S74" s="150">
        <v>5.3E-3</v>
      </c>
      <c r="T74" s="148"/>
      <c r="U74" s="149"/>
      <c r="V74" s="150"/>
      <c r="W74" s="65"/>
      <c r="X74" s="65"/>
      <c r="Y74" s="65"/>
      <c r="Z74" s="98"/>
    </row>
    <row r="75" spans="1:26" s="29" customFormat="1" ht="12.75" hidden="1" x14ac:dyDescent="0.2">
      <c r="A75" s="53"/>
      <c r="B75" s="144">
        <v>12.5</v>
      </c>
      <c r="C75" s="145">
        <v>0.96</v>
      </c>
      <c r="D75" s="146">
        <v>3.6635404454865181</v>
      </c>
      <c r="E75" s="147"/>
      <c r="F75" s="147"/>
      <c r="G75" s="147"/>
      <c r="H75" s="148">
        <v>2.0175416666666668</v>
      </c>
      <c r="I75" s="149">
        <v>24.2105</v>
      </c>
      <c r="J75" s="150">
        <v>2.0500000000000001E-2</v>
      </c>
      <c r="K75" s="148">
        <v>1.8162499999999999</v>
      </c>
      <c r="L75" s="149">
        <v>21.794999999999998</v>
      </c>
      <c r="M75" s="150">
        <v>1.78E-2</v>
      </c>
      <c r="N75" s="148">
        <v>1.3817083333333333</v>
      </c>
      <c r="O75" s="149">
        <v>16.580500000000001</v>
      </c>
      <c r="P75" s="150">
        <v>9.7000000000000003E-3</v>
      </c>
      <c r="Q75" s="148">
        <v>0.87120000000000009</v>
      </c>
      <c r="R75" s="149">
        <v>10.454400000000001</v>
      </c>
      <c r="S75" s="150">
        <v>8.3000000000000001E-3</v>
      </c>
      <c r="T75" s="148"/>
      <c r="U75" s="149"/>
      <c r="V75" s="150"/>
      <c r="W75" s="65"/>
      <c r="X75" s="65"/>
      <c r="Y75" s="65"/>
      <c r="Z75" s="98"/>
    </row>
    <row r="76" spans="1:26" s="29" customFormat="1" ht="12.75" hidden="1" x14ac:dyDescent="0.2">
      <c r="A76" s="53"/>
      <c r="B76" s="144">
        <v>13</v>
      </c>
      <c r="C76" s="145">
        <v>0.92300000000000004</v>
      </c>
      <c r="D76" s="146">
        <v>3.8100820633059791</v>
      </c>
      <c r="E76" s="147"/>
      <c r="F76" s="147"/>
      <c r="G76" s="147"/>
      <c r="H76" s="148">
        <v>2.1879</v>
      </c>
      <c r="I76" s="149">
        <v>26.254799999999999</v>
      </c>
      <c r="J76" s="150">
        <v>2.3300000000000001E-2</v>
      </c>
      <c r="K76" s="148">
        <v>1.8777000000000001</v>
      </c>
      <c r="L76" s="149">
        <v>22.532400000000003</v>
      </c>
      <c r="M76" s="150">
        <v>2.0500000000000001E-2</v>
      </c>
      <c r="N76" s="148">
        <v>1.4784333333333333</v>
      </c>
      <c r="O76" s="149">
        <v>17.741199999999999</v>
      </c>
      <c r="P76" s="150">
        <v>1.24E-2</v>
      </c>
      <c r="Q76" s="148">
        <v>1.3167000000000002</v>
      </c>
      <c r="R76" s="149">
        <v>15.800400000000002</v>
      </c>
      <c r="S76" s="150">
        <v>1.0999999999999999E-2</v>
      </c>
      <c r="T76" s="148"/>
      <c r="U76" s="149"/>
      <c r="V76" s="150"/>
      <c r="W76" s="65"/>
      <c r="X76" s="65"/>
      <c r="Y76" s="65"/>
      <c r="Z76" s="98"/>
    </row>
    <row r="77" spans="1:26" s="29" customFormat="1" ht="12.75" hidden="1" x14ac:dyDescent="0.2">
      <c r="A77" s="53"/>
      <c r="B77" s="144">
        <v>13.5</v>
      </c>
      <c r="C77" s="145">
        <v>0.88900000000000001</v>
      </c>
      <c r="D77" s="146">
        <v>3.9566236811254396</v>
      </c>
      <c r="E77" s="147"/>
      <c r="F77" s="147"/>
      <c r="G77" s="147"/>
      <c r="H77" s="148">
        <v>2.6004</v>
      </c>
      <c r="I77" s="149">
        <v>31.204799999999999</v>
      </c>
      <c r="J77" s="150">
        <v>2.58E-2</v>
      </c>
      <c r="K77" s="148">
        <v>2.2967999999999997</v>
      </c>
      <c r="L77" s="149">
        <v>27.561599999999999</v>
      </c>
      <c r="M77" s="150">
        <v>2.3E-2</v>
      </c>
      <c r="N77" s="148">
        <v>1.6962000000000002</v>
      </c>
      <c r="O77" s="149">
        <v>20.354400000000002</v>
      </c>
      <c r="P77" s="150">
        <v>1.4999999999999999E-2</v>
      </c>
      <c r="Q77" s="148">
        <v>1.7358000000000002</v>
      </c>
      <c r="R77" s="149">
        <v>20.829600000000003</v>
      </c>
      <c r="S77" s="150">
        <v>1.35E-2</v>
      </c>
      <c r="T77" s="148">
        <v>1.254</v>
      </c>
      <c r="U77" s="149">
        <v>15.048</v>
      </c>
      <c r="V77" s="150">
        <v>5.9999999999999995E-4</v>
      </c>
      <c r="W77" s="65"/>
      <c r="X77" s="65"/>
      <c r="Y77" s="65"/>
      <c r="Z77" s="98"/>
    </row>
    <row r="78" spans="1:26" s="29" customFormat="1" ht="12.75" hidden="1" x14ac:dyDescent="0.2">
      <c r="A78" s="53"/>
      <c r="B78" s="144">
        <v>14</v>
      </c>
      <c r="C78" s="145">
        <v>0.85699999999999998</v>
      </c>
      <c r="D78" s="146">
        <v>4.1031652989449006</v>
      </c>
      <c r="E78" s="147"/>
      <c r="F78" s="147"/>
      <c r="G78" s="147"/>
      <c r="H78" s="148">
        <v>2.9964</v>
      </c>
      <c r="I78" s="149">
        <v>35.956800000000001</v>
      </c>
      <c r="J78" s="150">
        <v>2.8199999999999999E-2</v>
      </c>
      <c r="K78" s="148">
        <v>2.6861999999999999</v>
      </c>
      <c r="L78" s="149">
        <v>32.234400000000001</v>
      </c>
      <c r="M78" s="150">
        <v>2.5399999999999999E-2</v>
      </c>
      <c r="N78" s="148">
        <v>2.0823000000000005</v>
      </c>
      <c r="O78" s="149">
        <v>24.987600000000004</v>
      </c>
      <c r="P78" s="150">
        <v>1.7299999999999999E-2</v>
      </c>
      <c r="Q78" s="148">
        <v>2.1252</v>
      </c>
      <c r="R78" s="149">
        <v>25.502399999999998</v>
      </c>
      <c r="S78" s="150">
        <v>1.5900000000000001E-2</v>
      </c>
      <c r="T78" s="148">
        <v>1.6500000000000001</v>
      </c>
      <c r="U78" s="149">
        <v>19.8</v>
      </c>
      <c r="V78" s="150">
        <v>3.5000000000000001E-3</v>
      </c>
      <c r="W78" s="65"/>
      <c r="X78" s="65"/>
      <c r="Y78" s="65"/>
      <c r="Z78" s="98"/>
    </row>
    <row r="79" spans="1:26" s="29" customFormat="1" ht="12.75" hidden="1" x14ac:dyDescent="0.2">
      <c r="A79" s="53"/>
      <c r="B79" s="144">
        <v>14.5</v>
      </c>
      <c r="C79" s="145">
        <v>0.82799999999999996</v>
      </c>
      <c r="D79" s="146">
        <v>4.2497069167643611</v>
      </c>
      <c r="E79" s="147"/>
      <c r="F79" s="147"/>
      <c r="G79" s="147"/>
      <c r="H79" s="148">
        <v>3.3429000000000002</v>
      </c>
      <c r="I79" s="149">
        <v>40.114800000000002</v>
      </c>
      <c r="J79" s="150">
        <v>3.0300000000000001E-2</v>
      </c>
      <c r="K79" s="148">
        <v>3.0458999999999996</v>
      </c>
      <c r="L79" s="149">
        <v>36.550799999999995</v>
      </c>
      <c r="M79" s="150">
        <v>2.76E-2</v>
      </c>
      <c r="N79" s="148">
        <v>2.4387000000000003</v>
      </c>
      <c r="O79" s="149">
        <v>29.264400000000002</v>
      </c>
      <c r="P79" s="150">
        <v>1.95E-2</v>
      </c>
      <c r="Q79" s="148">
        <v>2.4782999999999995</v>
      </c>
      <c r="R79" s="149">
        <v>29.739599999999996</v>
      </c>
      <c r="S79" s="150">
        <v>1.7999999999999999E-2</v>
      </c>
      <c r="T79" s="148">
        <v>1.9964999999999999</v>
      </c>
      <c r="U79" s="149">
        <v>23.957999999999998</v>
      </c>
      <c r="V79" s="150">
        <v>6.1000000000000004E-3</v>
      </c>
      <c r="W79" s="65"/>
      <c r="X79" s="65"/>
      <c r="Y79" s="65"/>
      <c r="Z79" s="98"/>
    </row>
    <row r="80" spans="1:26" s="29" customFormat="1" ht="12.75" hidden="1" x14ac:dyDescent="0.2">
      <c r="A80" s="53"/>
      <c r="B80" s="144">
        <v>15</v>
      </c>
      <c r="C80" s="145">
        <v>0.8</v>
      </c>
      <c r="D80" s="151">
        <v>4.3962485345838216</v>
      </c>
      <c r="E80" s="147"/>
      <c r="F80" s="147"/>
      <c r="G80" s="147"/>
      <c r="H80" s="148">
        <v>3.6893999999999996</v>
      </c>
      <c r="I80" s="149">
        <v>44.272799999999997</v>
      </c>
      <c r="J80" s="150">
        <v>3.2399999999999998E-2</v>
      </c>
      <c r="K80" s="148">
        <v>3.3824999999999998</v>
      </c>
      <c r="L80" s="149">
        <v>40.589999999999996</v>
      </c>
      <c r="M80" s="150">
        <v>2.9600000000000001E-2</v>
      </c>
      <c r="N80" s="148">
        <v>2.7852000000000001</v>
      </c>
      <c r="O80" s="149">
        <v>33.422400000000003</v>
      </c>
      <c r="P80" s="150">
        <v>2.1600000000000001E-2</v>
      </c>
      <c r="Q80" s="148">
        <v>2.8214999999999999</v>
      </c>
      <c r="R80" s="149">
        <v>33.857999999999997</v>
      </c>
      <c r="S80" s="150">
        <v>2.01E-2</v>
      </c>
      <c r="T80" s="152">
        <v>2.343</v>
      </c>
      <c r="U80" s="149">
        <v>28.116</v>
      </c>
      <c r="V80" s="150">
        <v>8.6E-3</v>
      </c>
      <c r="W80" s="65"/>
      <c r="X80" s="65"/>
      <c r="Y80" s="65"/>
      <c r="Z80" s="98"/>
    </row>
    <row r="81" spans="1:26" s="29" customFormat="1" ht="12.75" hidden="1" x14ac:dyDescent="0.2">
      <c r="A81" s="53"/>
      <c r="B81" s="144">
        <v>15.5</v>
      </c>
      <c r="C81" s="145">
        <v>0.77400000000000002</v>
      </c>
      <c r="D81" s="151">
        <v>4.542790152403283</v>
      </c>
      <c r="E81" s="147"/>
      <c r="F81" s="147"/>
      <c r="G81" s="147"/>
      <c r="H81" s="152">
        <v>4.0029000000000003</v>
      </c>
      <c r="I81" s="153">
        <v>48.034800000000004</v>
      </c>
      <c r="J81" s="154">
        <v>3.4299999999999997E-2</v>
      </c>
      <c r="K81" s="152">
        <v>3.7059000000000002</v>
      </c>
      <c r="L81" s="153">
        <v>44.470800000000004</v>
      </c>
      <c r="M81" s="154">
        <v>3.1600000000000003E-2</v>
      </c>
      <c r="N81" s="152">
        <v>3.0987000000000005</v>
      </c>
      <c r="O81" s="153">
        <v>37.184400000000004</v>
      </c>
      <c r="P81" s="154">
        <v>2.35E-2</v>
      </c>
      <c r="Q81" s="152">
        <v>3.1382999999999996</v>
      </c>
      <c r="R81" s="153">
        <v>37.659599999999998</v>
      </c>
      <c r="S81" s="154">
        <v>2.1999999999999999E-2</v>
      </c>
      <c r="T81" s="152">
        <v>2.6564999999999999</v>
      </c>
      <c r="U81" s="153">
        <v>31.878</v>
      </c>
      <c r="V81" s="154">
        <v>1.0999999999999999E-2</v>
      </c>
      <c r="W81" s="65"/>
      <c r="X81" s="65"/>
      <c r="Y81" s="65"/>
      <c r="Z81" s="98"/>
    </row>
    <row r="82" spans="1:26" s="29" customFormat="1" ht="12.75" hidden="1" x14ac:dyDescent="0.2">
      <c r="A82" s="53"/>
      <c r="B82" s="144">
        <v>16</v>
      </c>
      <c r="C82" s="145">
        <v>0.75</v>
      </c>
      <c r="D82" s="151">
        <v>7</v>
      </c>
      <c r="E82" s="147"/>
      <c r="F82" s="147"/>
      <c r="G82" s="147"/>
      <c r="H82" s="152">
        <v>4.2999000000000001</v>
      </c>
      <c r="I82" s="153">
        <v>51.598800000000004</v>
      </c>
      <c r="J82" s="154">
        <v>3.61E-2</v>
      </c>
      <c r="K82" s="152">
        <v>3.992999999999999</v>
      </c>
      <c r="L82" s="153">
        <v>47.91599999999999</v>
      </c>
      <c r="M82" s="154">
        <v>3.3300000000000003E-2</v>
      </c>
      <c r="N82" s="152">
        <v>3.3956999999999997</v>
      </c>
      <c r="O82" s="153">
        <v>40.748399999999997</v>
      </c>
      <c r="P82" s="154">
        <v>2.53E-2</v>
      </c>
      <c r="Q82" s="152">
        <v>3.4320000000000004</v>
      </c>
      <c r="R82" s="153">
        <v>41.184000000000005</v>
      </c>
      <c r="S82" s="154">
        <v>2.3800000000000002E-2</v>
      </c>
      <c r="T82" s="152">
        <v>2.9535</v>
      </c>
      <c r="U82" s="153">
        <v>35.442</v>
      </c>
      <c r="V82" s="154">
        <v>1.32E-2</v>
      </c>
      <c r="W82" s="65"/>
      <c r="X82" s="65"/>
      <c r="Y82" s="65"/>
      <c r="Z82" s="98"/>
    </row>
    <row r="83" spans="1:26" s="29" customFormat="1" ht="12.75" hidden="1" x14ac:dyDescent="0.2">
      <c r="A83" s="53"/>
      <c r="B83" s="144">
        <v>16.5</v>
      </c>
      <c r="C83" s="145">
        <v>0.72699999999999998</v>
      </c>
      <c r="D83" s="151">
        <v>4.835873388042204</v>
      </c>
      <c r="E83" s="147"/>
      <c r="F83" s="147"/>
      <c r="G83" s="147"/>
      <c r="H83" s="152">
        <v>4.5804</v>
      </c>
      <c r="I83" s="153">
        <v>54.964800000000004</v>
      </c>
      <c r="J83" s="154">
        <v>3.78E-2</v>
      </c>
      <c r="K83" s="152">
        <v>4.2768000000000006</v>
      </c>
      <c r="L83" s="153">
        <v>51.321600000000004</v>
      </c>
      <c r="M83" s="154">
        <v>3.5000000000000003E-2</v>
      </c>
      <c r="N83" s="152">
        <v>3.6762000000000001</v>
      </c>
      <c r="O83" s="153">
        <v>44.114400000000003</v>
      </c>
      <c r="P83" s="154">
        <v>2.7E-2</v>
      </c>
      <c r="Q83" s="152">
        <v>3.7157999999999998</v>
      </c>
      <c r="R83" s="153">
        <v>44.589599999999997</v>
      </c>
      <c r="S83" s="154">
        <v>2.5499999999999998E-2</v>
      </c>
      <c r="T83" s="152">
        <v>3.234</v>
      </c>
      <c r="U83" s="153">
        <v>38.808</v>
      </c>
      <c r="V83" s="154">
        <v>1.52E-2</v>
      </c>
      <c r="W83" s="65"/>
      <c r="X83" s="65"/>
      <c r="Y83" s="65"/>
      <c r="Z83" s="98"/>
    </row>
    <row r="84" spans="1:26" s="29" customFormat="1" ht="12.75" hidden="1" x14ac:dyDescent="0.2">
      <c r="A84" s="53"/>
      <c r="B84" s="144">
        <v>17</v>
      </c>
      <c r="C84" s="145">
        <v>0.70599999999999996</v>
      </c>
      <c r="D84" s="151">
        <v>4.9824150058616645</v>
      </c>
      <c r="E84" s="147"/>
      <c r="F84" s="147"/>
      <c r="G84" s="147"/>
      <c r="H84" s="152">
        <v>4.8443999999999994</v>
      </c>
      <c r="I84" s="153">
        <v>58.132799999999996</v>
      </c>
      <c r="J84" s="154">
        <v>3.9399999999999998E-2</v>
      </c>
      <c r="K84" s="152">
        <v>4.5342000000000002</v>
      </c>
      <c r="L84" s="153">
        <v>54.410400000000003</v>
      </c>
      <c r="M84" s="154">
        <v>3.6600000000000001E-2</v>
      </c>
      <c r="N84" s="152">
        <v>3.9303000000000003</v>
      </c>
      <c r="O84" s="153">
        <v>47.163600000000002</v>
      </c>
      <c r="P84" s="154">
        <v>2.8500000000000001E-2</v>
      </c>
      <c r="Q84" s="152">
        <v>3.9732000000000003</v>
      </c>
      <c r="R84" s="153">
        <v>47.678400000000003</v>
      </c>
      <c r="S84" s="154">
        <v>2.7099999999999999E-2</v>
      </c>
      <c r="T84" s="152">
        <v>3.4979999999999998</v>
      </c>
      <c r="U84" s="153">
        <v>41.975999999999999</v>
      </c>
      <c r="V84" s="154">
        <v>1.7100000000000001E-2</v>
      </c>
      <c r="W84" s="65"/>
      <c r="X84" s="65"/>
      <c r="Y84" s="65"/>
      <c r="Z84" s="98"/>
    </row>
    <row r="85" spans="1:26" s="29" customFormat="1" ht="12.75" hidden="1" x14ac:dyDescent="0.2">
      <c r="A85" s="53"/>
      <c r="B85" s="144">
        <v>17.5</v>
      </c>
      <c r="C85" s="145">
        <v>0.68600000000000005</v>
      </c>
      <c r="D85" s="151">
        <v>5.1289566236811259</v>
      </c>
      <c r="E85" s="147"/>
      <c r="F85" s="147"/>
      <c r="G85" s="147"/>
      <c r="H85" s="152">
        <v>5.0886000000000005</v>
      </c>
      <c r="I85" s="153">
        <v>61.063200000000009</v>
      </c>
      <c r="J85" s="154">
        <v>4.0800000000000003E-2</v>
      </c>
      <c r="K85" s="152">
        <v>4.7816999999999998</v>
      </c>
      <c r="L85" s="153">
        <v>57.380399999999995</v>
      </c>
      <c r="M85" s="154">
        <v>3.8100000000000002E-2</v>
      </c>
      <c r="N85" s="152">
        <v>4.1778000000000004</v>
      </c>
      <c r="O85" s="153">
        <v>50.133600000000001</v>
      </c>
      <c r="P85" s="154">
        <v>0.03</v>
      </c>
      <c r="Q85" s="152">
        <v>4.2206999999999999</v>
      </c>
      <c r="R85" s="153">
        <v>50.648400000000002</v>
      </c>
      <c r="S85" s="154">
        <v>2.86E-2</v>
      </c>
      <c r="T85" s="152">
        <v>3.7455000000000003</v>
      </c>
      <c r="U85" s="153">
        <v>44.946000000000005</v>
      </c>
      <c r="V85" s="154">
        <v>1.89E-2</v>
      </c>
      <c r="W85" s="65"/>
      <c r="X85" s="65"/>
      <c r="Y85" s="65"/>
      <c r="Z85" s="98"/>
    </row>
    <row r="86" spans="1:26" s="29" customFormat="1" ht="12.75" hidden="1" x14ac:dyDescent="0.2">
      <c r="A86" s="53"/>
      <c r="B86" s="144">
        <v>18</v>
      </c>
      <c r="C86" s="145">
        <v>0.66700000000000004</v>
      </c>
      <c r="D86" s="151">
        <v>5.2754982415005864</v>
      </c>
      <c r="E86" s="147"/>
      <c r="F86" s="147"/>
      <c r="G86" s="147"/>
      <c r="H86" s="152">
        <v>5.3196000000000003</v>
      </c>
      <c r="I86" s="153">
        <v>63.8352</v>
      </c>
      <c r="J86" s="154">
        <v>4.2200000000000001E-2</v>
      </c>
      <c r="K86" s="152">
        <v>5.0126999999999997</v>
      </c>
      <c r="L86" s="153">
        <v>60.1524</v>
      </c>
      <c r="M86" s="154">
        <v>3.95E-2</v>
      </c>
      <c r="N86" s="152">
        <v>4.4088000000000003</v>
      </c>
      <c r="O86" s="153">
        <v>52.905600000000007</v>
      </c>
      <c r="P86" s="154">
        <v>3.1399999999999997E-2</v>
      </c>
      <c r="Q86" s="152">
        <v>4.4517000000000007</v>
      </c>
      <c r="R86" s="153">
        <v>53.420400000000008</v>
      </c>
      <c r="S86" s="154">
        <v>0.03</v>
      </c>
      <c r="T86" s="152">
        <v>3.9765000000000001</v>
      </c>
      <c r="U86" s="153">
        <v>47.718000000000004</v>
      </c>
      <c r="V86" s="154">
        <v>2.07E-2</v>
      </c>
      <c r="W86" s="65"/>
      <c r="X86" s="65"/>
      <c r="Y86" s="65"/>
      <c r="Z86" s="98"/>
    </row>
    <row r="87" spans="1:26" s="29" customFormat="1" ht="12.75" hidden="1" x14ac:dyDescent="0.2">
      <c r="A87" s="53"/>
      <c r="B87" s="144">
        <v>18.5</v>
      </c>
      <c r="C87" s="145">
        <v>0.64900000000000002</v>
      </c>
      <c r="D87" s="151">
        <v>5.422039859320047</v>
      </c>
      <c r="E87" s="147"/>
      <c r="F87" s="147"/>
      <c r="G87" s="147"/>
      <c r="H87" s="152">
        <v>5.5374000000000008</v>
      </c>
      <c r="I87" s="153">
        <v>66.448800000000006</v>
      </c>
      <c r="J87" s="154">
        <v>4.36E-2</v>
      </c>
      <c r="K87" s="152">
        <v>5.2271999999999998</v>
      </c>
      <c r="L87" s="153">
        <v>62.726399999999998</v>
      </c>
      <c r="M87" s="154">
        <v>4.0800000000000003E-2</v>
      </c>
      <c r="N87" s="152">
        <v>4.6233000000000004</v>
      </c>
      <c r="O87" s="153">
        <v>55.479600000000005</v>
      </c>
      <c r="P87" s="154">
        <v>3.27E-2</v>
      </c>
      <c r="Q87" s="152">
        <v>4.6661999999999999</v>
      </c>
      <c r="R87" s="153">
        <v>55.994399999999999</v>
      </c>
      <c r="S87" s="154">
        <v>3.1300000000000001E-2</v>
      </c>
      <c r="T87" s="152">
        <v>4.1909999999999998</v>
      </c>
      <c r="U87" s="153">
        <v>50.292000000000002</v>
      </c>
      <c r="V87" s="154">
        <v>2.23E-2</v>
      </c>
      <c r="W87" s="65"/>
      <c r="X87" s="65"/>
      <c r="Y87" s="65"/>
      <c r="Z87" s="98"/>
    </row>
    <row r="88" spans="1:26" s="29" customFormat="1" ht="12.75" hidden="1" x14ac:dyDescent="0.2">
      <c r="A88" s="53"/>
      <c r="B88" s="144">
        <v>19</v>
      </c>
      <c r="C88" s="145">
        <v>0.63200000000000001</v>
      </c>
      <c r="D88" s="151">
        <v>5.5685814771395075</v>
      </c>
      <c r="E88" s="147"/>
      <c r="F88" s="147"/>
      <c r="G88" s="147"/>
      <c r="H88" s="152">
        <v>5.7486000000000006</v>
      </c>
      <c r="I88" s="153">
        <v>68.983200000000011</v>
      </c>
      <c r="J88" s="154">
        <v>4.48E-2</v>
      </c>
      <c r="K88" s="152">
        <v>5.4417</v>
      </c>
      <c r="L88" s="153">
        <v>65.300399999999996</v>
      </c>
      <c r="M88" s="154">
        <v>4.2099999999999999E-2</v>
      </c>
      <c r="N88" s="152">
        <v>4.8378000000000005</v>
      </c>
      <c r="O88" s="153">
        <v>58.053600000000003</v>
      </c>
      <c r="P88" s="154">
        <v>3.4000000000000002E-2</v>
      </c>
      <c r="Q88" s="152">
        <v>4.8807</v>
      </c>
      <c r="R88" s="153">
        <v>58.568399999999997</v>
      </c>
      <c r="S88" s="154">
        <v>3.2599999999999997E-2</v>
      </c>
      <c r="T88" s="152">
        <v>4.4055</v>
      </c>
      <c r="U88" s="153">
        <v>52.866</v>
      </c>
      <c r="V88" s="154">
        <v>2.3800000000000002E-2</v>
      </c>
      <c r="W88" s="65"/>
      <c r="X88" s="65"/>
      <c r="Y88" s="65"/>
      <c r="Z88" s="98"/>
    </row>
    <row r="89" spans="1:26" s="29" customFormat="1" ht="12.75" hidden="1" x14ac:dyDescent="0.2">
      <c r="A89" s="155"/>
      <c r="B89" s="144">
        <v>19.5</v>
      </c>
      <c r="C89" s="145">
        <v>0.61499999999999999</v>
      </c>
      <c r="D89" s="151">
        <v>5.7151230949589689</v>
      </c>
      <c r="E89" s="147"/>
      <c r="F89" s="147"/>
      <c r="G89" s="147"/>
      <c r="H89" s="152">
        <v>5.9498999999999995</v>
      </c>
      <c r="I89" s="153">
        <v>71.398799999999994</v>
      </c>
      <c r="J89" s="154">
        <v>4.6100000000000002E-2</v>
      </c>
      <c r="K89" s="152">
        <v>5.6430000000000007</v>
      </c>
      <c r="L89" s="153">
        <v>67.716000000000008</v>
      </c>
      <c r="M89" s="154">
        <v>4.3299999999999998E-2</v>
      </c>
      <c r="N89" s="152">
        <v>5.0456999999999992</v>
      </c>
      <c r="O89" s="153">
        <v>60.548399999999994</v>
      </c>
      <c r="P89" s="154">
        <v>3.5299999999999998E-2</v>
      </c>
      <c r="Q89" s="152">
        <v>5.0819999999999999</v>
      </c>
      <c r="R89" s="153">
        <v>60.984000000000002</v>
      </c>
      <c r="S89" s="154">
        <v>3.3799999999999997E-2</v>
      </c>
      <c r="T89" s="152">
        <v>4.6035000000000004</v>
      </c>
      <c r="U89" s="153">
        <v>55.242000000000004</v>
      </c>
      <c r="V89" s="154">
        <v>2.53E-2</v>
      </c>
      <c r="W89" s="156"/>
      <c r="X89" s="156"/>
      <c r="Y89" s="156"/>
      <c r="Z89" s="157"/>
    </row>
    <row r="90" spans="1:26" s="29" customFormat="1" ht="12.75" hidden="1" x14ac:dyDescent="0.2">
      <c r="A90" s="155"/>
      <c r="B90" s="144">
        <v>20</v>
      </c>
      <c r="C90" s="145">
        <v>0.6</v>
      </c>
      <c r="D90" s="151">
        <v>5.8616647127784294</v>
      </c>
      <c r="E90" s="147"/>
      <c r="F90" s="147"/>
      <c r="G90" s="147"/>
      <c r="H90" s="148">
        <v>6.1313999999999993</v>
      </c>
      <c r="I90" s="149">
        <v>73.576799999999992</v>
      </c>
      <c r="J90" s="150">
        <v>4.7199999999999999E-2</v>
      </c>
      <c r="K90" s="148">
        <v>5.8334999999999999</v>
      </c>
      <c r="L90" s="149">
        <v>70.001999999999995</v>
      </c>
      <c r="M90" s="150">
        <v>4.4499999999999998E-2</v>
      </c>
      <c r="N90" s="148">
        <v>5.2271999999999998</v>
      </c>
      <c r="O90" s="149">
        <v>62.726399999999998</v>
      </c>
      <c r="P90" s="150">
        <v>3.6400000000000002E-2</v>
      </c>
      <c r="Q90" s="148">
        <v>5.2668000000000008</v>
      </c>
      <c r="R90" s="149">
        <v>63.201600000000006</v>
      </c>
      <c r="S90" s="150">
        <v>3.49E-2</v>
      </c>
      <c r="T90" s="148">
        <v>4.7850000000000001</v>
      </c>
      <c r="U90" s="149">
        <v>57.42</v>
      </c>
      <c r="V90" s="150">
        <v>2.6700000000000002E-2</v>
      </c>
      <c r="W90" s="156"/>
      <c r="X90" s="156"/>
      <c r="Y90" s="156"/>
      <c r="Z90" s="157"/>
    </row>
    <row r="91" spans="1:26" s="29" customFormat="1" ht="12.75" hidden="1" x14ac:dyDescent="0.2">
      <c r="A91" s="155"/>
      <c r="B91" s="144"/>
      <c r="C91" s="145"/>
      <c r="D91" s="151"/>
      <c r="E91" s="147"/>
      <c r="F91" s="147"/>
      <c r="G91" s="147"/>
      <c r="H91" s="148"/>
      <c r="I91" s="158"/>
      <c r="J91" s="159"/>
      <c r="K91" s="148"/>
      <c r="L91" s="158"/>
      <c r="M91" s="159"/>
      <c r="N91" s="148"/>
      <c r="O91" s="158"/>
      <c r="P91" s="159"/>
      <c r="Q91" s="148"/>
      <c r="R91" s="158"/>
      <c r="S91" s="159"/>
      <c r="T91" s="148"/>
      <c r="U91" s="158"/>
      <c r="V91" s="159"/>
      <c r="W91" s="156"/>
      <c r="X91" s="156"/>
      <c r="Y91" s="156"/>
      <c r="Z91" s="157"/>
    </row>
    <row r="92" spans="1:26" s="29" customFormat="1" ht="12.75" hidden="1" x14ac:dyDescent="0.2">
      <c r="A92" s="155"/>
      <c r="B92" s="144"/>
      <c r="C92" s="145"/>
      <c r="D92" s="151"/>
      <c r="E92" s="147"/>
      <c r="F92" s="147"/>
      <c r="G92" s="147"/>
      <c r="H92" s="148"/>
      <c r="I92" s="158"/>
      <c r="J92" s="150"/>
      <c r="K92" s="148"/>
      <c r="L92" s="158"/>
      <c r="M92" s="150"/>
      <c r="N92" s="148"/>
      <c r="O92" s="158"/>
      <c r="P92" s="150"/>
      <c r="Q92" s="148"/>
      <c r="R92" s="158"/>
      <c r="S92" s="150"/>
      <c r="T92" s="148"/>
      <c r="U92" s="158"/>
      <c r="V92" s="150"/>
      <c r="W92" s="156"/>
      <c r="X92" s="156"/>
      <c r="Y92" s="156"/>
      <c r="Z92" s="157"/>
    </row>
    <row r="93" spans="1:26" s="29" customFormat="1" ht="12.75" hidden="1" x14ac:dyDescent="0.2">
      <c r="A93" s="34"/>
      <c r="B93" s="144"/>
      <c r="C93" s="160"/>
      <c r="D93" s="160"/>
      <c r="E93" s="161"/>
      <c r="F93" s="161"/>
      <c r="G93" s="161"/>
      <c r="H93" s="162"/>
      <c r="I93" s="163"/>
      <c r="J93" s="164"/>
      <c r="K93" s="162"/>
      <c r="L93" s="163"/>
      <c r="M93" s="164"/>
      <c r="N93" s="162"/>
      <c r="O93" s="163"/>
      <c r="P93" s="164"/>
      <c r="Q93" s="162"/>
      <c r="R93" s="163"/>
      <c r="S93" s="164"/>
      <c r="T93" s="162"/>
      <c r="U93" s="163"/>
      <c r="V93" s="164"/>
      <c r="W93" s="34"/>
      <c r="X93" s="34"/>
      <c r="Y93" s="34"/>
    </row>
    <row r="94" spans="1:26" s="29" customFormat="1" ht="13.5" hidden="1" thickBot="1" x14ac:dyDescent="0.25">
      <c r="A94" s="34"/>
      <c r="B94" s="165"/>
      <c r="C94" s="166"/>
      <c r="D94" s="167"/>
      <c r="E94" s="168"/>
      <c r="F94" s="168"/>
      <c r="G94" s="168"/>
      <c r="H94" s="169"/>
      <c r="I94" s="170"/>
      <c r="J94" s="171"/>
      <c r="K94" s="169"/>
      <c r="L94" s="170"/>
      <c r="M94" s="171"/>
      <c r="N94" s="169"/>
      <c r="O94" s="170"/>
      <c r="P94" s="171"/>
      <c r="Q94" s="169"/>
      <c r="R94" s="170"/>
      <c r="S94" s="171"/>
      <c r="T94" s="169"/>
      <c r="U94" s="170"/>
      <c r="V94" s="171"/>
    </row>
    <row r="95" spans="1:26" s="29" customFormat="1" ht="13.5" hidden="1" thickTop="1" x14ac:dyDescent="0.2">
      <c r="A95" s="70"/>
      <c r="B95" s="172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52"/>
      <c r="R95" s="52"/>
      <c r="S95" s="70"/>
      <c r="T95" s="70"/>
      <c r="U95" s="70"/>
      <c r="V95" s="70"/>
    </row>
    <row r="96" spans="1:26" s="29" customFormat="1" ht="12.75" hidden="1" x14ac:dyDescent="0.2">
      <c r="A96" s="34"/>
      <c r="B96" s="34"/>
      <c r="C96" s="52"/>
      <c r="D96" s="52"/>
      <c r="E96" s="52"/>
      <c r="F96" s="52"/>
      <c r="G96" s="52"/>
      <c r="H96" s="262" t="s">
        <v>140</v>
      </c>
      <c r="I96" s="263"/>
      <c r="J96" s="264"/>
      <c r="K96" s="254" t="s">
        <v>141</v>
      </c>
      <c r="L96" s="255"/>
      <c r="M96" s="256"/>
      <c r="N96" s="257" t="s">
        <v>142</v>
      </c>
      <c r="O96" s="258"/>
      <c r="P96" s="259"/>
      <c r="Q96" s="257" t="s">
        <v>143</v>
      </c>
      <c r="R96" s="258"/>
      <c r="S96" s="256"/>
      <c r="T96" s="260" t="s">
        <v>144</v>
      </c>
      <c r="U96" s="261"/>
      <c r="V96" s="256"/>
    </row>
    <row r="97" spans="1:22" s="176" customFormat="1" ht="12.75" hidden="1" x14ac:dyDescent="0.2">
      <c r="A97" s="173" t="s">
        <v>155</v>
      </c>
      <c r="B97" s="173"/>
      <c r="C97" s="174"/>
      <c r="D97" s="175"/>
      <c r="E97" s="175"/>
      <c r="F97" s="175"/>
      <c r="G97" s="175"/>
      <c r="H97" s="176" t="e">
        <f>VLOOKUP(DX_EER,DX_kW_Incent_Table,6)</f>
        <v>#REF!</v>
      </c>
      <c r="I97" s="175"/>
      <c r="J97" s="175"/>
      <c r="K97" s="176" t="e">
        <f>VLOOKUP(DX_EER,DX_kW_Incent_Table,9)</f>
        <v>#REF!</v>
      </c>
      <c r="L97" s="175"/>
      <c r="M97" s="175"/>
      <c r="N97" s="176" t="e">
        <f>VLOOKUP(DX_EER,DX_kW_Incent_Table,12)</f>
        <v>#REF!</v>
      </c>
      <c r="O97" s="175"/>
      <c r="P97" s="175"/>
      <c r="Q97" s="176" t="e">
        <f>VLOOKUP(DX_EER,DX_kW_Incent_Table,15)</f>
        <v>#REF!</v>
      </c>
      <c r="R97" s="175"/>
      <c r="S97" s="175"/>
      <c r="T97" s="176" t="e">
        <f>VLOOKUP(DX_EER,DX_kW_Incent_Table,18)</f>
        <v>#REF!</v>
      </c>
      <c r="U97" s="175"/>
      <c r="V97" s="175"/>
    </row>
    <row r="98" spans="1:22" s="176" customFormat="1" ht="12.75" hidden="1" x14ac:dyDescent="0.2">
      <c r="A98" s="173" t="s">
        <v>156</v>
      </c>
      <c r="B98" s="173"/>
      <c r="C98" s="174"/>
      <c r="D98" s="175"/>
      <c r="E98" s="175"/>
      <c r="F98" s="175"/>
      <c r="G98" s="175"/>
      <c r="H98" s="176" t="e">
        <f>VLOOKUP(DX_EER,DX_kW_Incent_Table,4)</f>
        <v>#REF!</v>
      </c>
      <c r="I98" s="175"/>
      <c r="J98" s="175"/>
      <c r="K98" s="176" t="e">
        <f>VLOOKUP(DX_EER,DX_kW_Incent_Table,7)</f>
        <v>#REF!</v>
      </c>
      <c r="L98" s="175"/>
      <c r="M98" s="175"/>
      <c r="N98" s="176" t="e">
        <f>VLOOKUP(DX_EER,DX_kW_Incent_Table,10)</f>
        <v>#REF!</v>
      </c>
      <c r="O98" s="175"/>
      <c r="P98" s="175"/>
      <c r="Q98" s="176" t="e">
        <f>VLOOKUP(DX_EER,DX_kW_Incent_Table,13)</f>
        <v>#REF!</v>
      </c>
      <c r="R98" s="175"/>
      <c r="S98" s="175"/>
      <c r="T98" s="176" t="e">
        <f>VLOOKUP(DX_EER,DX_kW_Incent_Table,16)</f>
        <v>#REF!</v>
      </c>
      <c r="U98" s="175"/>
      <c r="V98" s="175"/>
    </row>
    <row r="99" spans="1:22" hidden="1" x14ac:dyDescent="0.25">
      <c r="A99" s="35"/>
      <c r="B99" s="35"/>
      <c r="C99" s="35"/>
    </row>
    <row r="100" spans="1:22" hidden="1" x14ac:dyDescent="0.25">
      <c r="A100" s="35"/>
      <c r="B100" s="35"/>
      <c r="C100" s="173" t="s">
        <v>157</v>
      </c>
      <c r="D100" s="176" t="e">
        <f>IF(DX_Capacity&gt;=760,IF(DX_EER&gt;=MIN_EER_760,"QUAL","DNQ"),IF(DX_Capacity&gt;=240,IF(DX_EER&gt;=Min_EER_240_760,"QUAL","DNQ"),IF(DX_Capacity&gt;=135,IF(DX_EER&gt;=Min_EER_135_240,"QUAL","DNQ"),IF(DX_Capacity&gt;=65,IF(DX_EER&gt;=Min_EER_65_135,"QUAL","DNQ"),IF(DX_Capacity&lt;65,IF(DX_EER&gt;=Min_EER_65,"QUAL","DNQ"),"OTHER")))))</f>
        <v>#REF!</v>
      </c>
      <c r="E100" s="176"/>
      <c r="F100" s="176"/>
      <c r="G100" s="176"/>
    </row>
    <row r="101" spans="1:22" hidden="1" x14ac:dyDescent="0.25">
      <c r="A101" s="35"/>
      <c r="B101" s="35"/>
      <c r="C101" s="173" t="s">
        <v>158</v>
      </c>
      <c r="D101" s="177" t="e">
        <f>DX_Capacity*IF(DX_Capacity&gt;=760,KW_MBtuh_GE_760,IF(DX_Capacity&gt;=240,kW_MBtuh_GE_240,IF(DX_Capacity&gt;=135,kW_MBtuh_GE_135,IF(DX_Capacity&gt;=65,kW_MBtuh_GE_65,IF(DX_Capacity&lt;65,kW_MBtuh_LT_65,"OTHER")))))</f>
        <v>#REF!</v>
      </c>
      <c r="E101" s="177"/>
      <c r="F101" s="177"/>
      <c r="G101" s="177"/>
    </row>
    <row r="102" spans="1:22" x14ac:dyDescent="0.25">
      <c r="C102" s="36"/>
    </row>
  </sheetData>
  <mergeCells count="24">
    <mergeCell ref="C25:D25"/>
    <mergeCell ref="J5:K5"/>
    <mergeCell ref="J20:K20"/>
    <mergeCell ref="J23:K23"/>
    <mergeCell ref="J11:K11"/>
    <mergeCell ref="J13:K13"/>
    <mergeCell ref="B61:V61"/>
    <mergeCell ref="B62:V62"/>
    <mergeCell ref="H64:Q64"/>
    <mergeCell ref="H65:J65"/>
    <mergeCell ref="K65:M65"/>
    <mergeCell ref="N65:P65"/>
    <mergeCell ref="Q65:S65"/>
    <mergeCell ref="T65:V65"/>
    <mergeCell ref="K66:M66"/>
    <mergeCell ref="N66:P66"/>
    <mergeCell ref="Q66:S66"/>
    <mergeCell ref="T66:V66"/>
    <mergeCell ref="H96:J96"/>
    <mergeCell ref="K96:M96"/>
    <mergeCell ref="N96:P96"/>
    <mergeCell ref="Q96:S96"/>
    <mergeCell ref="T96:V96"/>
    <mergeCell ref="H66:J66"/>
  </mergeCells>
  <phoneticPr fontId="16" type="noConversion"/>
  <dataValidations count="2">
    <dataValidation type="list" allowBlank="1" showInputMessage="1" showErrorMessage="1" promptTitle="HeatPump" sqref="D36:D37 F36:F37" xr:uid="{98CA0E30-73E5-41A0-8968-F3458BC87E25}">
      <formula1>$D$22:$D$23</formula1>
    </dataValidation>
    <dataValidation type="list" allowBlank="1" showInputMessage="1" showErrorMessage="1" promptTitle="Efficiency" sqref="D35 F35" xr:uid="{65308389-E8EF-4D56-9021-5DDA3D02B68E}">
      <formula1>$J$25:$J$28</formula1>
    </dataValidation>
  </dataValidations>
  <hyperlinks>
    <hyperlink ref="D52" r:id="rId1" xr:uid="{0D01F076-B67D-41B8-A130-75BC9505C548}"/>
    <hyperlink ref="D55" r:id="rId2" xr:uid="{59FFA3D1-BF3B-495A-A874-3671E3AE0440}"/>
    <hyperlink ref="D54" r:id="rId3" xr:uid="{B7D60C5E-D314-4EB8-B246-20EEE52897F2}"/>
    <hyperlink ref="D53" r:id="rId4" xr:uid="{CD5E5DA0-0D85-4729-86E7-B85BFBEC795C}"/>
  </hyperlinks>
  <pageMargins left="0.7" right="0.7" top="0.75" bottom="0.75" header="0.3" footer="0.3"/>
  <pageSetup scale="45" fitToHeight="0" orientation="landscape" horizontalDpi="90" verticalDpi="90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6DDB-2E7E-44D9-A99B-A9FC82C20E3B}">
  <dimension ref="A1:V88"/>
  <sheetViews>
    <sheetView topLeftCell="A3" workbookViewId="0">
      <selection activeCell="E6" sqref="E6"/>
    </sheetView>
  </sheetViews>
  <sheetFormatPr defaultRowHeight="12.75" x14ac:dyDescent="0.2"/>
  <cols>
    <col min="1" max="1" width="29.28515625" style="3" customWidth="1"/>
    <col min="2" max="2" width="24.140625" style="3" customWidth="1"/>
    <col min="3" max="7" width="12.42578125" style="3" customWidth="1"/>
    <col min="8" max="10" width="9.140625" style="3"/>
    <col min="11" max="11" width="9.5703125" style="3" bestFit="1" customWidth="1"/>
    <col min="12" max="16384" width="9.140625" style="3"/>
  </cols>
  <sheetData>
    <row r="1" spans="1:22" ht="20.25" x14ac:dyDescent="0.3">
      <c r="A1" s="1" t="s">
        <v>159</v>
      </c>
      <c r="B1" s="2"/>
    </row>
    <row r="2" spans="1:22" ht="15.75" x14ac:dyDescent="0.25">
      <c r="A2" s="1" t="s">
        <v>160</v>
      </c>
    </row>
    <row r="3" spans="1:22" ht="31.5" x14ac:dyDescent="0.25">
      <c r="L3" s="26" t="s">
        <v>90</v>
      </c>
      <c r="V3"/>
    </row>
    <row r="4" spans="1:22" s="4" customFormat="1" ht="15.75" x14ac:dyDescent="0.25">
      <c r="A4" s="4" t="s">
        <v>161</v>
      </c>
      <c r="B4" s="4" t="s">
        <v>162</v>
      </c>
      <c r="C4" s="4" t="s">
        <v>75</v>
      </c>
      <c r="D4" s="4" t="s">
        <v>70</v>
      </c>
      <c r="E4" s="4" t="s">
        <v>2</v>
      </c>
      <c r="F4" s="4" t="s">
        <v>3</v>
      </c>
      <c r="G4" s="4" t="s">
        <v>123</v>
      </c>
      <c r="L4" s="4" t="s">
        <v>2</v>
      </c>
    </row>
    <row r="5" spans="1:22" x14ac:dyDescent="0.2">
      <c r="A5" s="3" t="s">
        <v>163</v>
      </c>
      <c r="B5" s="5" t="s">
        <v>164</v>
      </c>
      <c r="C5" s="6">
        <v>13</v>
      </c>
      <c r="D5" s="6">
        <v>13.4</v>
      </c>
      <c r="E5" s="6"/>
      <c r="F5" s="6"/>
      <c r="G5" s="7">
        <v>1.0469999999999999</v>
      </c>
      <c r="H5" s="8" t="s">
        <v>165</v>
      </c>
      <c r="L5" s="3">
        <v>12.1</v>
      </c>
      <c r="M5" s="10">
        <f>C5/L5</f>
        <v>1.0743801652892562</v>
      </c>
    </row>
    <row r="6" spans="1:22" x14ac:dyDescent="0.2">
      <c r="A6" s="9" t="s">
        <v>166</v>
      </c>
      <c r="B6" s="5" t="s">
        <v>167</v>
      </c>
      <c r="C6" s="6"/>
      <c r="D6" s="6"/>
      <c r="E6" s="6">
        <v>11.2</v>
      </c>
      <c r="F6" s="6">
        <v>14.8</v>
      </c>
      <c r="G6" s="10">
        <f>+F6/E6</f>
        <v>1.3214285714285716</v>
      </c>
      <c r="L6">
        <v>12.1</v>
      </c>
      <c r="M6" s="10">
        <f>E6/L6</f>
        <v>0.92561983471074372</v>
      </c>
    </row>
    <row r="7" spans="1:22" x14ac:dyDescent="0.2">
      <c r="A7" s="9" t="s">
        <v>166</v>
      </c>
      <c r="B7" s="5" t="s">
        <v>168</v>
      </c>
      <c r="C7" s="6"/>
      <c r="D7" s="6"/>
      <c r="E7" s="6">
        <v>11</v>
      </c>
      <c r="F7" s="6">
        <v>14.6</v>
      </c>
      <c r="G7" s="10">
        <f t="shared" ref="G7:G13" si="0">+F7/E7</f>
        <v>1.3272727272727272</v>
      </c>
      <c r="L7" s="3">
        <v>11.9</v>
      </c>
      <c r="M7" s="10">
        <f t="shared" ref="M7:M13" si="1">E7/L7</f>
        <v>0.9243697478991596</v>
      </c>
    </row>
    <row r="8" spans="1:22" x14ac:dyDescent="0.2">
      <c r="A8" s="9" t="s">
        <v>169</v>
      </c>
      <c r="B8" s="5" t="s">
        <v>167</v>
      </c>
      <c r="C8" s="6"/>
      <c r="D8" s="6"/>
      <c r="E8" s="6">
        <v>11</v>
      </c>
      <c r="F8" s="6">
        <v>14.2</v>
      </c>
      <c r="G8" s="10">
        <f t="shared" si="0"/>
        <v>1.2909090909090908</v>
      </c>
      <c r="L8" s="3">
        <v>12.5</v>
      </c>
      <c r="M8" s="10">
        <f t="shared" si="1"/>
        <v>0.88</v>
      </c>
    </row>
    <row r="9" spans="1:22" x14ac:dyDescent="0.2">
      <c r="A9" s="9" t="s">
        <v>169</v>
      </c>
      <c r="B9" s="5" t="s">
        <v>168</v>
      </c>
      <c r="C9" s="6"/>
      <c r="D9" s="6"/>
      <c r="E9" s="6">
        <v>10.8</v>
      </c>
      <c r="F9" s="6">
        <v>14</v>
      </c>
      <c r="G9" s="10">
        <f t="shared" si="0"/>
        <v>1.2962962962962963</v>
      </c>
      <c r="I9" s="184">
        <f>AVERAGE(G6:G13)</f>
        <v>1.3082292417589101</v>
      </c>
      <c r="L9" s="3">
        <v>12.3</v>
      </c>
      <c r="M9" s="10">
        <f t="shared" si="1"/>
        <v>0.87804878048780488</v>
      </c>
    </row>
    <row r="10" spans="1:22" x14ac:dyDescent="0.2">
      <c r="A10" s="9" t="s">
        <v>170</v>
      </c>
      <c r="B10" s="5" t="s">
        <v>167</v>
      </c>
      <c r="C10" s="6"/>
      <c r="D10" s="6"/>
      <c r="E10" s="6">
        <v>10</v>
      </c>
      <c r="F10" s="6">
        <v>13.2</v>
      </c>
      <c r="G10" s="10">
        <f t="shared" si="0"/>
        <v>1.3199999999999998</v>
      </c>
      <c r="L10" s="3">
        <v>12.4</v>
      </c>
      <c r="M10" s="10">
        <f t="shared" si="1"/>
        <v>0.80645161290322576</v>
      </c>
    </row>
    <row r="11" spans="1:22" x14ac:dyDescent="0.2">
      <c r="A11" s="9" t="s">
        <v>170</v>
      </c>
      <c r="B11" s="5" t="s">
        <v>168</v>
      </c>
      <c r="C11" s="6"/>
      <c r="D11" s="6"/>
      <c r="E11" s="6">
        <v>9.8000000000000007</v>
      </c>
      <c r="F11" s="6">
        <v>13</v>
      </c>
      <c r="G11" s="10">
        <f t="shared" si="0"/>
        <v>1.3265306122448979</v>
      </c>
      <c r="L11" s="3">
        <v>12.2</v>
      </c>
      <c r="M11" s="10">
        <f t="shared" si="1"/>
        <v>0.80327868852459028</v>
      </c>
    </row>
    <row r="12" spans="1:22" x14ac:dyDescent="0.2">
      <c r="A12" s="9" t="s">
        <v>171</v>
      </c>
      <c r="B12" s="5" t="s">
        <v>167</v>
      </c>
      <c r="C12" s="6"/>
      <c r="D12" s="6"/>
      <c r="E12" s="6">
        <v>9.6999999999999993</v>
      </c>
      <c r="F12" s="6">
        <v>12.5</v>
      </c>
      <c r="G12" s="10">
        <f t="shared" si="0"/>
        <v>1.2886597938144331</v>
      </c>
      <c r="L12" s="3">
        <v>12.2</v>
      </c>
      <c r="M12" s="10">
        <f t="shared" si="1"/>
        <v>0.79508196721311475</v>
      </c>
    </row>
    <row r="13" spans="1:22" x14ac:dyDescent="0.2">
      <c r="A13" s="9" t="s">
        <v>171</v>
      </c>
      <c r="B13" s="5" t="s">
        <v>168</v>
      </c>
      <c r="C13" s="6"/>
      <c r="D13" s="6"/>
      <c r="E13" s="6">
        <v>9.5</v>
      </c>
      <c r="F13" s="6">
        <v>12.3</v>
      </c>
      <c r="G13" s="10">
        <f t="shared" si="0"/>
        <v>1.2947368421052632</v>
      </c>
      <c r="L13" s="3">
        <v>12</v>
      </c>
      <c r="M13" s="10">
        <f t="shared" si="1"/>
        <v>0.79166666666666663</v>
      </c>
    </row>
    <row r="14" spans="1:22" x14ac:dyDescent="0.2">
      <c r="B14" s="5"/>
      <c r="C14" s="6"/>
      <c r="D14" s="6"/>
      <c r="E14" s="6"/>
      <c r="F14" s="6"/>
      <c r="G14" s="10"/>
      <c r="M14" s="7">
        <f>AVERAGE(M5:M13)</f>
        <v>0.87543305152161799</v>
      </c>
    </row>
    <row r="15" spans="1:22" x14ac:dyDescent="0.2">
      <c r="B15" s="5"/>
      <c r="C15" s="6"/>
      <c r="D15" s="6"/>
      <c r="E15" s="6"/>
      <c r="F15" s="6"/>
      <c r="G15" s="10"/>
      <c r="Q15" s="3" t="s">
        <v>172</v>
      </c>
    </row>
    <row r="16" spans="1:22" ht="20.25" x14ac:dyDescent="0.3">
      <c r="A16" s="1" t="s">
        <v>173</v>
      </c>
      <c r="B16" s="2"/>
      <c r="K16" s="185">
        <f>((I9+I24)/2)</f>
        <v>1.3038438794792349</v>
      </c>
    </row>
    <row r="17" spans="1:10" ht="15.75" x14ac:dyDescent="0.25">
      <c r="A17" s="1" t="s">
        <v>174</v>
      </c>
    </row>
    <row r="19" spans="1:10" ht="15.75" x14ac:dyDescent="0.25">
      <c r="A19" s="4" t="s">
        <v>161</v>
      </c>
      <c r="B19" s="4" t="s">
        <v>162</v>
      </c>
      <c r="C19" s="4" t="s">
        <v>75</v>
      </c>
      <c r="D19" s="4" t="s">
        <v>70</v>
      </c>
      <c r="E19" s="4" t="s">
        <v>2</v>
      </c>
      <c r="F19" s="4" t="s">
        <v>3</v>
      </c>
      <c r="G19" s="4" t="s">
        <v>123</v>
      </c>
      <c r="H19" s="4"/>
      <c r="I19" s="4"/>
      <c r="J19" s="4"/>
    </row>
    <row r="20" spans="1:10" x14ac:dyDescent="0.2">
      <c r="A20" s="3" t="s">
        <v>163</v>
      </c>
      <c r="B20" s="5" t="s">
        <v>164</v>
      </c>
      <c r="C20" s="6">
        <v>14</v>
      </c>
      <c r="D20" s="6">
        <v>14.3</v>
      </c>
      <c r="E20" s="6"/>
      <c r="F20" s="6"/>
      <c r="G20" s="25">
        <f>D20/C20</f>
        <v>1.0214285714285716</v>
      </c>
      <c r="H20" s="8" t="s">
        <v>165</v>
      </c>
    </row>
    <row r="21" spans="1:10" x14ac:dyDescent="0.2">
      <c r="A21" s="9" t="s">
        <v>166</v>
      </c>
      <c r="B21" s="5" t="s">
        <v>167</v>
      </c>
      <c r="C21" s="6"/>
      <c r="D21" s="6"/>
      <c r="E21" s="6">
        <v>11</v>
      </c>
      <c r="F21" s="6">
        <v>14.1</v>
      </c>
      <c r="G21" s="10">
        <f>+F21/E21</f>
        <v>1.2818181818181817</v>
      </c>
    </row>
    <row r="22" spans="1:10" x14ac:dyDescent="0.2">
      <c r="A22" s="9" t="s">
        <v>166</v>
      </c>
      <c r="B22" s="5" t="s">
        <v>168</v>
      </c>
      <c r="C22" s="6"/>
      <c r="D22" s="6"/>
      <c r="E22" s="6">
        <v>10.8</v>
      </c>
      <c r="F22" s="6">
        <v>13.9</v>
      </c>
      <c r="G22" s="10">
        <f t="shared" ref="G22:G26" si="2">+F22/E22</f>
        <v>1.287037037037037</v>
      </c>
    </row>
    <row r="23" spans="1:10" x14ac:dyDescent="0.2">
      <c r="A23" s="9" t="s">
        <v>169</v>
      </c>
      <c r="B23" s="5" t="s">
        <v>167</v>
      </c>
      <c r="C23" s="6"/>
      <c r="D23" s="6"/>
      <c r="E23" s="6">
        <v>10.3</v>
      </c>
      <c r="F23" s="6">
        <v>13.5</v>
      </c>
      <c r="G23" s="10">
        <f t="shared" si="2"/>
        <v>1.3106796116504853</v>
      </c>
    </row>
    <row r="24" spans="1:10" x14ac:dyDescent="0.2">
      <c r="A24" s="9" t="s">
        <v>169</v>
      </c>
      <c r="B24" s="5" t="s">
        <v>168</v>
      </c>
      <c r="C24" s="6"/>
      <c r="D24" s="6"/>
      <c r="E24" s="6">
        <v>10.4</v>
      </c>
      <c r="F24" s="6">
        <v>13.3</v>
      </c>
      <c r="G24" s="10">
        <f t="shared" si="2"/>
        <v>1.278846153846154</v>
      </c>
      <c r="I24" s="184">
        <f>AVERAGE(G21:G26)</f>
        <v>1.2994585171995598</v>
      </c>
    </row>
    <row r="25" spans="1:10" x14ac:dyDescent="0.2">
      <c r="A25" s="9" t="s">
        <v>170</v>
      </c>
      <c r="B25" s="5" t="s">
        <v>167</v>
      </c>
      <c r="C25" s="6"/>
      <c r="D25" s="6"/>
      <c r="E25" s="6">
        <v>9.5</v>
      </c>
      <c r="F25" s="6">
        <v>12.5</v>
      </c>
      <c r="G25" s="10">
        <f t="shared" si="2"/>
        <v>1.3157894736842106</v>
      </c>
    </row>
    <row r="26" spans="1:10" x14ac:dyDescent="0.2">
      <c r="A26" s="9" t="s">
        <v>170</v>
      </c>
      <c r="B26" s="5" t="s">
        <v>168</v>
      </c>
      <c r="C26" s="6"/>
      <c r="D26" s="6"/>
      <c r="E26" s="6">
        <v>9.3000000000000007</v>
      </c>
      <c r="F26" s="6">
        <v>12.3</v>
      </c>
      <c r="G26" s="10">
        <f t="shared" si="2"/>
        <v>1.3225806451612903</v>
      </c>
    </row>
    <row r="27" spans="1:10" x14ac:dyDescent="0.2">
      <c r="A27" s="9"/>
      <c r="B27" s="5"/>
      <c r="C27" s="6"/>
      <c r="D27" s="6"/>
      <c r="E27" s="6"/>
      <c r="F27" s="6">
        <v>10</v>
      </c>
      <c r="G27" s="10"/>
    </row>
    <row r="28" spans="1:10" x14ac:dyDescent="0.2">
      <c r="A28" s="9"/>
      <c r="B28" s="5"/>
      <c r="C28" s="6"/>
      <c r="D28" s="6"/>
      <c r="E28" s="6"/>
      <c r="F28" s="6"/>
      <c r="G28" s="10"/>
    </row>
    <row r="29" spans="1:10" x14ac:dyDescent="0.2">
      <c r="B29" s="5"/>
      <c r="C29" s="6"/>
      <c r="D29" s="6"/>
      <c r="E29" s="6"/>
      <c r="F29" s="6"/>
      <c r="G29" s="10"/>
    </row>
    <row r="30" spans="1:10" x14ac:dyDescent="0.2">
      <c r="B30" s="5"/>
      <c r="C30" s="6"/>
      <c r="D30" s="6"/>
      <c r="E30" s="6"/>
      <c r="F30" s="6"/>
      <c r="G30" s="10"/>
    </row>
    <row r="31" spans="1:10" x14ac:dyDescent="0.2">
      <c r="B31" s="5"/>
      <c r="C31" s="6"/>
      <c r="D31" s="6"/>
      <c r="E31" s="6"/>
      <c r="F31" s="6"/>
      <c r="G31" s="10"/>
    </row>
    <row r="32" spans="1:10" x14ac:dyDescent="0.2">
      <c r="B32" s="5"/>
      <c r="C32" s="6"/>
      <c r="D32" s="6"/>
      <c r="E32" s="6"/>
      <c r="F32" s="6"/>
      <c r="G32" s="10"/>
    </row>
    <row r="33" spans="1:8" ht="14.25" x14ac:dyDescent="0.2">
      <c r="B33" s="5"/>
      <c r="C33" s="11" t="s">
        <v>175</v>
      </c>
      <c r="D33" s="6"/>
      <c r="E33" s="6"/>
      <c r="F33" s="6"/>
      <c r="G33" s="10"/>
    </row>
    <row r="34" spans="1:8" ht="13.5" thickBot="1" x14ac:dyDescent="0.25">
      <c r="B34" s="5"/>
      <c r="C34" s="6"/>
      <c r="D34" s="6"/>
      <c r="E34" s="6"/>
      <c r="F34" s="6"/>
      <c r="G34" s="10"/>
    </row>
    <row r="35" spans="1:8" ht="18.75" x14ac:dyDescent="0.3">
      <c r="B35" s="5"/>
      <c r="C35" s="12" t="s">
        <v>176</v>
      </c>
      <c r="D35" s="13"/>
      <c r="E35" s="13"/>
      <c r="F35" s="14"/>
      <c r="G35" s="14"/>
      <c r="H35" s="15"/>
    </row>
    <row r="36" spans="1:8" ht="20.25" x14ac:dyDescent="0.35">
      <c r="B36" s="5"/>
      <c r="C36" s="16" t="s">
        <v>70</v>
      </c>
      <c r="D36" s="223"/>
      <c r="E36" s="17" t="s">
        <v>177</v>
      </c>
      <c r="F36" s="223"/>
      <c r="G36" s="18" t="s">
        <v>178</v>
      </c>
      <c r="H36" s="19"/>
    </row>
    <row r="37" spans="1:8" ht="18.75" x14ac:dyDescent="0.3">
      <c r="B37" s="5"/>
      <c r="C37" s="16"/>
      <c r="D37" s="18"/>
      <c r="E37" s="17"/>
      <c r="F37" s="18"/>
      <c r="G37" s="18"/>
      <c r="H37" s="19"/>
    </row>
    <row r="38" spans="1:8" ht="20.25" x14ac:dyDescent="0.35">
      <c r="B38" s="5"/>
      <c r="C38" s="16" t="s">
        <v>3</v>
      </c>
      <c r="D38" s="223"/>
      <c r="E38" s="17" t="s">
        <v>177</v>
      </c>
      <c r="F38" s="223"/>
      <c r="G38" s="18" t="s">
        <v>178</v>
      </c>
      <c r="H38" s="19"/>
    </row>
    <row r="39" spans="1:8" ht="15.75" thickBot="1" x14ac:dyDescent="0.3">
      <c r="B39" s="5"/>
      <c r="C39" s="20"/>
      <c r="D39" s="21"/>
      <c r="E39" s="21"/>
      <c r="F39" s="21"/>
      <c r="G39" s="21"/>
      <c r="H39" s="22"/>
    </row>
    <row r="40" spans="1:8" x14ac:dyDescent="0.2">
      <c r="B40" s="5"/>
      <c r="C40" s="6"/>
      <c r="D40" s="6"/>
      <c r="E40" s="6"/>
      <c r="F40" s="6"/>
      <c r="G40" s="10"/>
    </row>
    <row r="41" spans="1:8" x14ac:dyDescent="0.2">
      <c r="B41" s="5"/>
      <c r="C41" s="6"/>
      <c r="D41" s="6"/>
      <c r="E41" s="6"/>
      <c r="F41" s="6"/>
      <c r="G41" s="10"/>
    </row>
    <row r="42" spans="1:8" x14ac:dyDescent="0.2">
      <c r="A42" s="3" t="s">
        <v>75</v>
      </c>
      <c r="B42" s="5" t="s">
        <v>70</v>
      </c>
      <c r="C42" s="6"/>
      <c r="D42" s="6"/>
      <c r="E42" s="6"/>
      <c r="F42" s="6"/>
      <c r="G42" s="10"/>
    </row>
    <row r="43" spans="1:8" x14ac:dyDescent="0.2">
      <c r="A43" s="5">
        <v>12</v>
      </c>
      <c r="B43" s="5">
        <v>12.6</v>
      </c>
      <c r="C43" s="23">
        <f>B43/A43</f>
        <v>1.05</v>
      </c>
      <c r="D43" s="6"/>
      <c r="E43" s="6"/>
      <c r="F43" s="6"/>
      <c r="G43" s="10"/>
    </row>
    <row r="44" spans="1:8" x14ac:dyDescent="0.2">
      <c r="A44" s="5">
        <v>13</v>
      </c>
      <c r="B44" s="5">
        <v>13.6</v>
      </c>
      <c r="C44" s="23">
        <f t="shared" ref="C44:C61" si="3">B44/A44</f>
        <v>1.0461538461538462</v>
      </c>
      <c r="D44" s="6"/>
      <c r="E44" s="6"/>
      <c r="F44" s="6"/>
      <c r="G44" s="10"/>
    </row>
    <row r="45" spans="1:8" x14ac:dyDescent="0.2">
      <c r="A45" s="5">
        <v>14</v>
      </c>
      <c r="B45" s="5">
        <v>14.7</v>
      </c>
      <c r="C45" s="23">
        <f t="shared" si="3"/>
        <v>1.05</v>
      </c>
      <c r="D45" s="6"/>
      <c r="E45" s="6"/>
      <c r="F45" s="6"/>
      <c r="G45" s="10"/>
    </row>
    <row r="46" spans="1:8" x14ac:dyDescent="0.2">
      <c r="A46" s="5">
        <v>15</v>
      </c>
      <c r="B46" s="5">
        <v>15.7</v>
      </c>
      <c r="C46" s="23">
        <f t="shared" si="3"/>
        <v>1.0466666666666666</v>
      </c>
      <c r="D46" s="6"/>
      <c r="E46" s="6"/>
      <c r="F46" s="6"/>
      <c r="G46" s="10"/>
    </row>
    <row r="47" spans="1:8" x14ac:dyDescent="0.2">
      <c r="A47" s="5">
        <v>16</v>
      </c>
      <c r="B47" s="5">
        <v>16.8</v>
      </c>
      <c r="C47" s="23">
        <f t="shared" si="3"/>
        <v>1.05</v>
      </c>
      <c r="D47" s="6"/>
      <c r="E47" s="6"/>
      <c r="F47" s="6"/>
      <c r="G47" s="10"/>
    </row>
    <row r="48" spans="1:8" x14ac:dyDescent="0.2">
      <c r="A48" s="5">
        <v>17</v>
      </c>
      <c r="B48" s="5">
        <v>17.8</v>
      </c>
      <c r="C48" s="23">
        <f t="shared" si="3"/>
        <v>1.0470588235294118</v>
      </c>
      <c r="D48" s="6"/>
      <c r="E48" s="6"/>
      <c r="F48" s="6"/>
      <c r="G48" s="10"/>
    </row>
    <row r="49" spans="1:7" x14ac:dyDescent="0.2">
      <c r="A49" s="5">
        <v>18</v>
      </c>
      <c r="B49" s="5">
        <v>18.8</v>
      </c>
      <c r="C49" s="23">
        <f t="shared" si="3"/>
        <v>1.0444444444444445</v>
      </c>
      <c r="D49" s="6"/>
      <c r="E49" s="6"/>
      <c r="F49" s="6"/>
      <c r="G49" s="10"/>
    </row>
    <row r="50" spans="1:7" x14ac:dyDescent="0.2">
      <c r="A50" s="5">
        <v>19</v>
      </c>
      <c r="B50" s="5">
        <v>19.899999999999999</v>
      </c>
      <c r="C50" s="23">
        <f t="shared" si="3"/>
        <v>1.0473684210526315</v>
      </c>
      <c r="D50" s="6"/>
      <c r="E50" s="6"/>
      <c r="F50" s="6"/>
      <c r="G50" s="10"/>
    </row>
    <row r="51" spans="1:7" x14ac:dyDescent="0.2">
      <c r="A51" s="5">
        <v>20</v>
      </c>
      <c r="B51" s="5">
        <v>20.9</v>
      </c>
      <c r="C51" s="23">
        <f t="shared" si="3"/>
        <v>1.0449999999999999</v>
      </c>
      <c r="D51" s="6"/>
      <c r="E51" s="6"/>
      <c r="F51" s="6"/>
    </row>
    <row r="52" spans="1:7" x14ac:dyDescent="0.2">
      <c r="A52" s="5">
        <v>21</v>
      </c>
      <c r="B52" s="5">
        <v>22</v>
      </c>
      <c r="C52" s="23">
        <f t="shared" si="3"/>
        <v>1.0476190476190477</v>
      </c>
      <c r="D52" s="6"/>
      <c r="E52" s="6"/>
      <c r="F52" s="6"/>
    </row>
    <row r="53" spans="1:7" x14ac:dyDescent="0.2">
      <c r="A53" s="5">
        <v>22</v>
      </c>
      <c r="B53" s="5">
        <v>23</v>
      </c>
      <c r="C53" s="23">
        <f t="shared" si="3"/>
        <v>1.0454545454545454</v>
      </c>
      <c r="D53" s="6"/>
      <c r="E53" s="6"/>
      <c r="F53" s="6"/>
    </row>
    <row r="54" spans="1:7" x14ac:dyDescent="0.2">
      <c r="A54" s="5">
        <v>23</v>
      </c>
      <c r="B54" s="5">
        <v>24.1</v>
      </c>
      <c r="C54" s="23">
        <f t="shared" si="3"/>
        <v>1.0478260869565219</v>
      </c>
    </row>
    <row r="55" spans="1:7" x14ac:dyDescent="0.2">
      <c r="A55" s="5">
        <v>24</v>
      </c>
      <c r="B55" s="5">
        <v>25.1</v>
      </c>
      <c r="C55" s="23">
        <f t="shared" si="3"/>
        <v>1.0458333333333334</v>
      </c>
    </row>
    <row r="56" spans="1:7" x14ac:dyDescent="0.2">
      <c r="A56" s="5">
        <v>25</v>
      </c>
      <c r="B56" s="5">
        <v>26.2</v>
      </c>
      <c r="C56" s="23">
        <f t="shared" si="3"/>
        <v>1.048</v>
      </c>
    </row>
    <row r="57" spans="1:7" x14ac:dyDescent="0.2">
      <c r="A57" s="5">
        <v>26</v>
      </c>
      <c r="B57" s="5">
        <v>27.2</v>
      </c>
      <c r="C57" s="23">
        <f t="shared" si="3"/>
        <v>1.0461538461538462</v>
      </c>
    </row>
    <row r="58" spans="1:7" x14ac:dyDescent="0.2">
      <c r="A58" s="5">
        <v>27</v>
      </c>
      <c r="B58" s="5">
        <v>28.3</v>
      </c>
      <c r="C58" s="23">
        <f t="shared" si="3"/>
        <v>1.0481481481481483</v>
      </c>
    </row>
    <row r="59" spans="1:7" x14ac:dyDescent="0.2">
      <c r="A59" s="5">
        <v>28</v>
      </c>
      <c r="B59" s="5">
        <v>29.3</v>
      </c>
      <c r="C59" s="23">
        <f t="shared" si="3"/>
        <v>1.0464285714285715</v>
      </c>
    </row>
    <row r="60" spans="1:7" x14ac:dyDescent="0.2">
      <c r="A60" s="5">
        <v>29</v>
      </c>
      <c r="B60" s="5">
        <v>30.4</v>
      </c>
      <c r="C60" s="23">
        <f t="shared" si="3"/>
        <v>1.0482758620689654</v>
      </c>
    </row>
    <row r="61" spans="1:7" x14ac:dyDescent="0.2">
      <c r="A61" s="5">
        <v>30</v>
      </c>
      <c r="B61" s="5">
        <v>31.3</v>
      </c>
      <c r="C61" s="23">
        <f t="shared" si="3"/>
        <v>1.0433333333333334</v>
      </c>
    </row>
    <row r="62" spans="1:7" x14ac:dyDescent="0.2">
      <c r="C62" s="24">
        <f>AVERAGE(C43:C61)</f>
        <v>1.0470402619128059</v>
      </c>
    </row>
    <row r="88" spans="2:2" x14ac:dyDescent="0.2">
      <c r="B88" s="27" t="s">
        <v>179</v>
      </c>
    </row>
  </sheetData>
  <hyperlinks>
    <hyperlink ref="B88" r:id="rId1" xr:uid="{B063E278-2154-4D74-91B7-9E401E4931B3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590E38BA88A341A77346E9093137D6" ma:contentTypeVersion="5" ma:contentTypeDescription="Create a new document." ma:contentTypeScope="" ma:versionID="0576f738af7c221934faeea39dfce578">
  <xsd:schema xmlns:xsd="http://www.w3.org/2001/XMLSchema" xmlns:xs="http://www.w3.org/2001/XMLSchema" xmlns:p="http://schemas.microsoft.com/office/2006/metadata/properties" xmlns:ns2="7f000ab9-6d3a-4dcc-9dce-52095c2d84c5" xmlns:ns3="5d610ecf-d86f-4bec-92bc-047c515232c3" targetNamespace="http://schemas.microsoft.com/office/2006/metadata/properties" ma:root="true" ma:fieldsID="f1552310b3a22f256ba9f39710c62479" ns2:_="" ns3:_="">
    <xsd:import namespace="7f000ab9-6d3a-4dcc-9dce-52095c2d84c5"/>
    <xsd:import namespace="5d610ecf-d86f-4bec-92bc-047c51523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00ab9-6d3a-4dcc-9dce-52095c2d8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10ecf-d86f-4bec-92bc-047c51523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C073B-4F7F-4F4F-AF10-77F8882A1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00ab9-6d3a-4dcc-9dce-52095c2d84c5"/>
    <ds:schemaRef ds:uri="5d610ecf-d86f-4bec-92bc-047c51523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FF76A-4428-42D6-84B5-E7D96BF85EC1}">
  <ds:schemaRefs>
    <ds:schemaRef ds:uri="http://purl.org/dc/elements/1.1/"/>
    <ds:schemaRef ds:uri="http://schemas.microsoft.com/office/2006/metadata/properties"/>
    <ds:schemaRef ds:uri="5d610ecf-d86f-4bec-92bc-047c515232c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7f000ab9-6d3a-4dcc-9dce-52095c2d84c5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63335A-B442-4D78-965F-50BF4DBC0F9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DXAC Prog and Lookup</vt:lpstr>
      <vt:lpstr>ASHRAE Std 90.1</vt:lpstr>
      <vt:lpstr>Base_Efficiency_EER</vt:lpstr>
      <vt:lpstr>Base_IEER_to_EER_Factor_more_than_65_Mbtuh</vt:lpstr>
      <vt:lpstr>BES</vt:lpstr>
      <vt:lpstr>BES_Factor</vt:lpstr>
      <vt:lpstr>Calculated_Base_Efficiency</vt:lpstr>
      <vt:lpstr>Calculated_New_Efficiency</vt:lpstr>
      <vt:lpstr>Capacity_135_Mbtuh</vt:lpstr>
      <vt:lpstr>Capacity_240_Mbtuh</vt:lpstr>
      <vt:lpstr>Capacity_65_Mbtuh</vt:lpstr>
      <vt:lpstr>Capacity_760_Mbtuh</vt:lpstr>
      <vt:lpstr>DX_Inc</vt:lpstr>
      <vt:lpstr>DX_kW_Incent_Table</vt:lpstr>
      <vt:lpstr>DX_kWh</vt:lpstr>
      <vt:lpstr>DX_QUAL</vt:lpstr>
      <vt:lpstr>DX_SkW</vt:lpstr>
      <vt:lpstr>DX_WkW</vt:lpstr>
      <vt:lpstr>EER</vt:lpstr>
      <vt:lpstr>Efficiency_Rating</vt:lpstr>
      <vt:lpstr>FPL_Rebate</vt:lpstr>
      <vt:lpstr>Heat_Pump</vt:lpstr>
      <vt:lpstr>IEER</vt:lpstr>
      <vt:lpstr>Inc_MBTUH_GE_135</vt:lpstr>
      <vt:lpstr>Inc_MBTUH_GE_240</vt:lpstr>
      <vt:lpstr>Inc_MBTUH_GE_65</vt:lpstr>
      <vt:lpstr>Inc_MBTUH_GE_760</vt:lpstr>
      <vt:lpstr>Inc_MBTUH_LT_65</vt:lpstr>
      <vt:lpstr>kW_MBtuh_GE_135</vt:lpstr>
      <vt:lpstr>kW_MBtuh_GE_240</vt:lpstr>
      <vt:lpstr>kW_MBtuh_GE_65</vt:lpstr>
      <vt:lpstr>KW_MBtuh_GE_760</vt:lpstr>
      <vt:lpstr>kW_MBtuh_LT_65</vt:lpstr>
      <vt:lpstr>KW_reduction_at_meter</vt:lpstr>
      <vt:lpstr>kWh_Factor</vt:lpstr>
      <vt:lpstr>kWh_reduction__KWH</vt:lpstr>
      <vt:lpstr>Min_EER_135_240</vt:lpstr>
      <vt:lpstr>Min_EER_240_760</vt:lpstr>
      <vt:lpstr>Min_EER_65</vt:lpstr>
      <vt:lpstr>Min_EER_65_135</vt:lpstr>
      <vt:lpstr>MIN_EER_760</vt:lpstr>
      <vt:lpstr>New_EER_SEER2_IEER</vt:lpstr>
      <vt:lpstr>New_IEER_to_EER_Factor_more_than_65_Mbtuh</vt:lpstr>
      <vt:lpstr>Rebate_amount</vt:lpstr>
      <vt:lpstr>SEER_Factor</vt:lpstr>
      <vt:lpstr>SEER2</vt:lpstr>
      <vt:lpstr>SEER2_Factor_less_than_65_Mbtuh</vt:lpstr>
      <vt:lpstr>Summer_kW_Factor</vt:lpstr>
      <vt:lpstr>Summer_KW_reduction__SKW</vt:lpstr>
      <vt:lpstr>System_Capacity__Mbtuh</vt:lpstr>
      <vt:lpstr>Water_Cooled</vt:lpstr>
      <vt:lpstr>Water_Cooled_Weighted_Average</vt:lpstr>
      <vt:lpstr>Winter_kW_Factor</vt:lpstr>
      <vt:lpstr>Winter_KW_reduction__WKW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FPL BES DXAC Job Detail Page</dc:title>
  <dc:subject/>
  <dc:creator>FPL</dc:creator>
  <cp:keywords/>
  <dc:description/>
  <cp:lastModifiedBy>Jones, Joseph</cp:lastModifiedBy>
  <cp:revision/>
  <dcterms:created xsi:type="dcterms:W3CDTF">1999-11-08T16:19:48Z</dcterms:created>
  <dcterms:modified xsi:type="dcterms:W3CDTF">2024-04-11T13:37:59Z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0x010100BF590E38BA88A341A77346E9093137D6</vt:lpwstr>
  </property>
  <property fmtid="{D5CDD505-2E9C-101B-9397-08002B2CF9AE}" pid="3" name="MediaServiceImageTags">
    <vt:lpwstr/>
  </property>
</Properties>
</file>