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Workgroups\FPC Marketing\Energy Efficiency and Sales\2020 DSM Plan\Program Implementation\PIC Database Development\Business Programs\8 BHVAC Core Team\Calculators\"/>
    </mc:Choice>
  </mc:AlternateContent>
  <xr:revisionPtr revIDLastSave="0" documentId="8_{FBC2CF6A-A76B-4419-8B3D-6E2502D3E48F}" xr6:coauthVersionLast="47" xr6:coauthVersionMax="47" xr10:uidLastSave="{00000000-0000-0000-0000-000000000000}"/>
  <bookViews>
    <workbookView xWindow="42540" yWindow="0" windowWidth="28800" windowHeight="21000" xr2:uid="{FF21D05C-5208-4EFD-BC2D-67901A3A87DF}"/>
  </bookViews>
  <sheets>
    <sheet name="ERV" sheetId="1" r:id="rId1"/>
    <sheet name="ERV Cool &amp; Heat " sheetId="4" state="hidden" r:id="rId2"/>
  </sheets>
  <definedNames>
    <definedName name="a">#REF!</definedName>
    <definedName name="Aux_Power">ERV!$C$23</definedName>
    <definedName name="Basis_kWperTon">ERV!$H$16</definedName>
    <definedName name="BES">ERV!$C$21</definedName>
    <definedName name="Calc_NTER">ERV!$C$33</definedName>
    <definedName name="Dollars_per_kW">#REF!</definedName>
    <definedName name="ERV_EER">ERV!$C$16</definedName>
    <definedName name="ERV_Inc">ERV!$C$25</definedName>
    <definedName name="ERV_kWh">ERV!$C$28</definedName>
    <definedName name="ERV_SkW">ERV!$C$26</definedName>
    <definedName name="ERV_WkW">ERV!$C$27</definedName>
    <definedName name="Exh_Cool_Enthalpy">ERV!$C$18</definedName>
    <definedName name="Fan_Eff">ERV!$C$19</definedName>
    <definedName name="Filter_PD">ERV!$C$22</definedName>
    <definedName name="KDCV__kWh">#REF!</definedName>
    <definedName name="KDCV_BEF">#REF!</definedName>
    <definedName name="KDCV_Inc">#REF!</definedName>
    <definedName name="KDCV_kW_at_Meter">#REF!</definedName>
    <definedName name="KDCV_kw_savings_per_cfm">#REF!</definedName>
    <definedName name="KDCV_SkW">#REF!</definedName>
    <definedName name="KDCV_WkW">#REF!</definedName>
    <definedName name="Kitchen_Exh_CFM_New">#REF!</definedName>
    <definedName name="MIN_NTER">ERV!$C$24</definedName>
    <definedName name="Motor_Eff">ERV!$C$20</definedName>
    <definedName name="Out_Air_Flow">ERV!$C$15</definedName>
    <definedName name="Out_Cool_Enthalpy">ERV!$C$17</definedName>
    <definedName name="Out_lbs_per_hr">ERV!$H$15</definedName>
    <definedName name="_xlnm.Print_Area" localSheetId="0">ERV!$A$1:$O$51</definedName>
    <definedName name="_xlnm.Print_Area" localSheetId="1">'ERV Cool &amp; Heat '!$A$3:$R$87</definedName>
    <definedName name="Unit_Airflow_Rating">ERV!$C$9</definedName>
    <definedName name="Unit_Cooling_NTER">ERV!$C$7</definedName>
    <definedName name="Unit_Pressure_Drop">ERV!$C$8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41" i="1"/>
  <c r="E40" i="1"/>
  <c r="E39" i="1"/>
  <c r="G50" i="4"/>
  <c r="G49" i="4"/>
  <c r="M34" i="4" s="1"/>
  <c r="L34" i="4" s="1"/>
  <c r="E11" i="4" l="1"/>
  <c r="D11" i="4" s="1"/>
  <c r="Q13" i="4"/>
  <c r="P13" i="4" s="1"/>
  <c r="E15" i="4"/>
  <c r="D15" i="4" s="1"/>
  <c r="I17" i="4"/>
  <c r="H17" i="4" s="1"/>
  <c r="I21" i="4"/>
  <c r="H21" i="4" s="1"/>
  <c r="M23" i="4"/>
  <c r="L23" i="4" s="1"/>
  <c r="E33" i="4"/>
  <c r="D33" i="4" s="1"/>
  <c r="M11" i="4"/>
  <c r="L11" i="4" s="1"/>
  <c r="M19" i="4"/>
  <c r="L19" i="4" s="1"/>
  <c r="M27" i="4"/>
  <c r="L27" i="4" s="1"/>
  <c r="I13" i="4"/>
  <c r="H13" i="4" s="1"/>
  <c r="M15" i="4"/>
  <c r="L15" i="4" s="1"/>
  <c r="E19" i="4"/>
  <c r="D19" i="4" s="1"/>
  <c r="Q21" i="4"/>
  <c r="P21" i="4" s="1"/>
  <c r="O24" i="4"/>
  <c r="N24" i="4" s="1"/>
  <c r="Q25" i="4"/>
  <c r="P25" i="4" s="1"/>
  <c r="E27" i="4"/>
  <c r="D27" i="4" s="1"/>
  <c r="O28" i="4"/>
  <c r="N28" i="4" s="1"/>
  <c r="Q29" i="4"/>
  <c r="P29" i="4" s="1"/>
  <c r="K30" i="4"/>
  <c r="J30" i="4" s="1"/>
  <c r="M33" i="4"/>
  <c r="L33" i="4" s="1"/>
  <c r="O11" i="4"/>
  <c r="N11" i="4" s="1"/>
  <c r="K13" i="4"/>
  <c r="J13" i="4" s="1"/>
  <c r="G15" i="4"/>
  <c r="F15" i="4" s="1"/>
  <c r="E18" i="4"/>
  <c r="D18" i="4" s="1"/>
  <c r="O19" i="4"/>
  <c r="N19" i="4" s="1"/>
  <c r="Q20" i="4"/>
  <c r="P20" i="4" s="1"/>
  <c r="G23" i="4"/>
  <c r="F23" i="4" s="1"/>
  <c r="I24" i="4"/>
  <c r="H24" i="4" s="1"/>
  <c r="E26" i="4"/>
  <c r="D26" i="4" s="1"/>
  <c r="O27" i="4"/>
  <c r="N27" i="4" s="1"/>
  <c r="Q28" i="4"/>
  <c r="P28" i="4" s="1"/>
  <c r="M30" i="4"/>
  <c r="L30" i="4" s="1"/>
  <c r="O33" i="4"/>
  <c r="N33" i="4" s="1"/>
  <c r="Q34" i="4"/>
  <c r="P34" i="4" s="1"/>
  <c r="O12" i="4"/>
  <c r="N12" i="4" s="1"/>
  <c r="G16" i="4"/>
  <c r="F16" i="4" s="1"/>
  <c r="G20" i="4"/>
  <c r="F20" i="4" s="1"/>
  <c r="E23" i="4"/>
  <c r="D23" i="4" s="1"/>
  <c r="I25" i="4"/>
  <c r="H25" i="4" s="1"/>
  <c r="G28" i="4"/>
  <c r="F28" i="4" s="1"/>
  <c r="G34" i="4"/>
  <c r="F34" i="4" s="1"/>
  <c r="Q12" i="4"/>
  <c r="P12" i="4" s="1"/>
  <c r="I16" i="4"/>
  <c r="H16" i="4" s="1"/>
  <c r="M18" i="4"/>
  <c r="L18" i="4" s="1"/>
  <c r="I20" i="4"/>
  <c r="H20" i="4" s="1"/>
  <c r="E22" i="4"/>
  <c r="D22" i="4" s="1"/>
  <c r="Q24" i="4"/>
  <c r="P24" i="4" s="1"/>
  <c r="G27" i="4"/>
  <c r="F27" i="4" s="1"/>
  <c r="E30" i="4"/>
  <c r="D30" i="4" s="1"/>
  <c r="I11" i="4"/>
  <c r="H11" i="4" s="1"/>
  <c r="Q11" i="4"/>
  <c r="P11" i="4" s="1"/>
  <c r="K12" i="4"/>
  <c r="J12" i="4" s="1"/>
  <c r="E13" i="4"/>
  <c r="D13" i="4" s="1"/>
  <c r="M13" i="4"/>
  <c r="L13" i="4" s="1"/>
  <c r="G14" i="4"/>
  <c r="F14" i="4" s="1"/>
  <c r="O14" i="4"/>
  <c r="N14" i="4" s="1"/>
  <c r="I15" i="4"/>
  <c r="H15" i="4" s="1"/>
  <c r="Q15" i="4"/>
  <c r="P15" i="4" s="1"/>
  <c r="K16" i="4"/>
  <c r="J16" i="4" s="1"/>
  <c r="E17" i="4"/>
  <c r="M17" i="4"/>
  <c r="L17" i="4" s="1"/>
  <c r="G18" i="4"/>
  <c r="F18" i="4" s="1"/>
  <c r="O18" i="4"/>
  <c r="N18" i="4" s="1"/>
  <c r="I19" i="4"/>
  <c r="H19" i="4" s="1"/>
  <c r="Q19" i="4"/>
  <c r="P19" i="4" s="1"/>
  <c r="K20" i="4"/>
  <c r="J20" i="4" s="1"/>
  <c r="E21" i="4"/>
  <c r="D21" i="4" s="1"/>
  <c r="M21" i="4"/>
  <c r="L21" i="4" s="1"/>
  <c r="G22" i="4"/>
  <c r="F22" i="4" s="1"/>
  <c r="O22" i="4"/>
  <c r="N22" i="4" s="1"/>
  <c r="I23" i="4"/>
  <c r="H23" i="4" s="1"/>
  <c r="Q23" i="4"/>
  <c r="P23" i="4" s="1"/>
  <c r="K24" i="4"/>
  <c r="J24" i="4" s="1"/>
  <c r="E25" i="4"/>
  <c r="D25" i="4" s="1"/>
  <c r="M25" i="4"/>
  <c r="L25" i="4" s="1"/>
  <c r="G26" i="4"/>
  <c r="F26" i="4" s="1"/>
  <c r="O26" i="4"/>
  <c r="N26" i="4" s="1"/>
  <c r="I27" i="4"/>
  <c r="H27" i="4" s="1"/>
  <c r="Q27" i="4"/>
  <c r="P27" i="4" s="1"/>
  <c r="K28" i="4"/>
  <c r="J28" i="4" s="1"/>
  <c r="E29" i="4"/>
  <c r="D29" i="4" s="1"/>
  <c r="M29" i="4"/>
  <c r="L29" i="4" s="1"/>
  <c r="G30" i="4"/>
  <c r="F30" i="4" s="1"/>
  <c r="O30" i="4"/>
  <c r="N30" i="4" s="1"/>
  <c r="I33" i="4"/>
  <c r="H33" i="4" s="1"/>
  <c r="Q33" i="4"/>
  <c r="P33" i="4" s="1"/>
  <c r="K34" i="4"/>
  <c r="J34" i="4" s="1"/>
  <c r="K18" i="4"/>
  <c r="J18" i="4" s="1"/>
  <c r="I12" i="4"/>
  <c r="H12" i="4" s="1"/>
  <c r="M14" i="4"/>
  <c r="L14" i="4" s="1"/>
  <c r="O15" i="4"/>
  <c r="N15" i="4" s="1"/>
  <c r="K17" i="4"/>
  <c r="J17" i="4" s="1"/>
  <c r="G19" i="4"/>
  <c r="F19" i="4" s="1"/>
  <c r="K21" i="4"/>
  <c r="J21" i="4" s="1"/>
  <c r="O23" i="4"/>
  <c r="N23" i="4" s="1"/>
  <c r="K25" i="4"/>
  <c r="J25" i="4" s="1"/>
  <c r="M26" i="4"/>
  <c r="L26" i="4" s="1"/>
  <c r="I28" i="4"/>
  <c r="H28" i="4" s="1"/>
  <c r="K29" i="4"/>
  <c r="J29" i="4" s="1"/>
  <c r="G33" i="4"/>
  <c r="F33" i="4" s="1"/>
  <c r="I34" i="4"/>
  <c r="H34" i="4" s="1"/>
  <c r="G12" i="4"/>
  <c r="F12" i="4" s="1"/>
  <c r="K14" i="4"/>
  <c r="J14" i="4" s="1"/>
  <c r="O16" i="4"/>
  <c r="N16" i="4" s="1"/>
  <c r="Q17" i="4"/>
  <c r="P17" i="4" s="1"/>
  <c r="O20" i="4"/>
  <c r="N20" i="4" s="1"/>
  <c r="K22" i="4"/>
  <c r="J22" i="4" s="1"/>
  <c r="G24" i="4"/>
  <c r="F24" i="4" s="1"/>
  <c r="K26" i="4"/>
  <c r="J26" i="4" s="1"/>
  <c r="I29" i="4"/>
  <c r="H29" i="4" s="1"/>
  <c r="O34" i="4"/>
  <c r="N34" i="4" s="1"/>
  <c r="G11" i="4"/>
  <c r="F11" i="4" s="1"/>
  <c r="E14" i="4"/>
  <c r="D14" i="4" s="1"/>
  <c r="Q16" i="4"/>
  <c r="P16" i="4" s="1"/>
  <c r="M22" i="4"/>
  <c r="L22" i="4" s="1"/>
  <c r="K11" i="4"/>
  <c r="J11" i="4" s="1"/>
  <c r="E12" i="4"/>
  <c r="D12" i="4" s="1"/>
  <c r="M12" i="4"/>
  <c r="L12" i="4" s="1"/>
  <c r="G13" i="4"/>
  <c r="F13" i="4" s="1"/>
  <c r="O13" i="4"/>
  <c r="N13" i="4" s="1"/>
  <c r="I14" i="4"/>
  <c r="H14" i="4" s="1"/>
  <c r="Q14" i="4"/>
  <c r="P14" i="4" s="1"/>
  <c r="K15" i="4"/>
  <c r="J15" i="4" s="1"/>
  <c r="E16" i="4"/>
  <c r="D16" i="4" s="1"/>
  <c r="M16" i="4"/>
  <c r="L16" i="4" s="1"/>
  <c r="G17" i="4"/>
  <c r="F17" i="4" s="1"/>
  <c r="O17" i="4"/>
  <c r="N17" i="4" s="1"/>
  <c r="I18" i="4"/>
  <c r="H18" i="4" s="1"/>
  <c r="Q18" i="4"/>
  <c r="P18" i="4" s="1"/>
  <c r="K19" i="4"/>
  <c r="J19" i="4" s="1"/>
  <c r="E20" i="4"/>
  <c r="D20" i="4" s="1"/>
  <c r="M20" i="4"/>
  <c r="G21" i="4"/>
  <c r="F21" i="4" s="1"/>
  <c r="O21" i="4"/>
  <c r="N21" i="4" s="1"/>
  <c r="I22" i="4"/>
  <c r="H22" i="4" s="1"/>
  <c r="Q22" i="4"/>
  <c r="P22" i="4" s="1"/>
  <c r="K23" i="4"/>
  <c r="J23" i="4" s="1"/>
  <c r="E24" i="4"/>
  <c r="D24" i="4" s="1"/>
  <c r="M24" i="4"/>
  <c r="L24" i="4" s="1"/>
  <c r="G25" i="4"/>
  <c r="F25" i="4" s="1"/>
  <c r="O25" i="4"/>
  <c r="N25" i="4" s="1"/>
  <c r="I26" i="4"/>
  <c r="H26" i="4" s="1"/>
  <c r="Q26" i="4"/>
  <c r="P26" i="4" s="1"/>
  <c r="K27" i="4"/>
  <c r="J27" i="4" s="1"/>
  <c r="E28" i="4"/>
  <c r="D28" i="4" s="1"/>
  <c r="M28" i="4"/>
  <c r="L28" i="4" s="1"/>
  <c r="G29" i="4"/>
  <c r="F29" i="4" s="1"/>
  <c r="O29" i="4"/>
  <c r="N29" i="4" s="1"/>
  <c r="I30" i="4"/>
  <c r="H30" i="4" s="1"/>
  <c r="Q30" i="4"/>
  <c r="P30" i="4" s="1"/>
  <c r="K33" i="4"/>
  <c r="J33" i="4" s="1"/>
  <c r="E34" i="4"/>
  <c r="D34" i="4" s="1"/>
  <c r="D17" i="4" l="1"/>
  <c r="E57" i="4"/>
  <c r="E58" i="4" s="1"/>
  <c r="E59" i="4" s="1"/>
  <c r="H45" i="4"/>
  <c r="L20" i="4"/>
  <c r="H40" i="4" s="1"/>
  <c r="D44" i="4" s="1"/>
  <c r="H44" i="4" s="1"/>
  <c r="F73" i="4" l="1"/>
  <c r="F72" i="4"/>
  <c r="F74" i="4" s="1"/>
  <c r="C33" i="1" l="1"/>
  <c r="B32" i="1" l="1"/>
  <c r="H16" i="1" l="1"/>
  <c r="H15" i="1"/>
  <c r="C35" i="1" l="1"/>
  <c r="C36" i="1" s="1"/>
  <c r="C41" i="1" s="1"/>
  <c r="C40" i="1" l="1"/>
  <c r="C42" i="1"/>
  <c r="C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Lui, Chi</author>
    <author>ICF0X97</author>
  </authors>
  <commentList>
    <comment ref="H15" authorId="0" shapeId="0" xr:uid="{44F8E754-D3CE-4816-8A04-9F5AF4AAF249}">
      <text>
        <r>
          <rPr>
            <b/>
            <sz val="9"/>
            <color indexed="81"/>
            <rFont val="Tahoma"/>
            <family val="2"/>
          </rPr>
          <t>Lui, Chi:</t>
        </r>
        <r>
          <rPr>
            <sz val="9"/>
            <color indexed="81"/>
            <rFont val="Tahoma"/>
            <family val="2"/>
          </rPr>
          <t xml:space="preserve">
Refer to Janese Table column "I", this is amount of moisture removed, value remain the same for all</t>
        </r>
      </text>
    </comment>
    <comment ref="C16" authorId="1" shapeId="0" xr:uid="{B4218E75-4CFE-40A7-858D-5DF00374B983}">
      <text>
        <r>
          <rPr>
            <b/>
            <sz val="8"/>
            <color indexed="81"/>
            <rFont val="Tahoma"/>
            <family val="2"/>
          </rPr>
          <t>Changed from 11.2 to 11.8: Based on 10 Tons DX minimum efficiency per ASHRAE 90.1 - 2019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C19" authorId="0" shapeId="0" xr:uid="{035D51F6-0FA4-45D0-B0D4-F0A6B5F991B3}">
      <text>
        <r>
          <rPr>
            <b/>
            <sz val="9"/>
            <color indexed="81"/>
            <rFont val="Tahoma"/>
            <family val="2"/>
          </rPr>
          <t>Lui, Chi:</t>
        </r>
        <r>
          <rPr>
            <sz val="9"/>
            <color indexed="81"/>
            <rFont val="Tahoma"/>
            <family val="2"/>
          </rPr>
          <t xml:space="preserve">
0.50 changed to 0.60 based on ASHRAE requirement of FEI&lt;=1.0 equate Fan Eff of 0.60 (AMCA 208-2018)</t>
        </r>
      </text>
    </comment>
    <comment ref="C20" authorId="0" shapeId="0" xr:uid="{069D2904-5858-42DC-A706-30A744F58704}">
      <text>
        <r>
          <rPr>
            <b/>
            <sz val="9"/>
            <color indexed="81"/>
            <rFont val="Tahoma"/>
            <family val="2"/>
          </rPr>
          <t>Lui, Chi:</t>
        </r>
        <r>
          <rPr>
            <sz val="9"/>
            <color indexed="81"/>
            <rFont val="Tahoma"/>
            <family val="2"/>
          </rPr>
          <t xml:space="preserve">
Changed from 84% to 85.5% based on EISA 2007</t>
        </r>
      </text>
    </comment>
    <comment ref="C22" authorId="0" shapeId="0" xr:uid="{6CBBE0EF-AAE8-4D25-BC47-59558A7AFC04}">
      <text>
        <r>
          <rPr>
            <b/>
            <sz val="9"/>
            <color indexed="81"/>
            <rFont val="Tahoma"/>
            <family val="2"/>
          </rPr>
          <t>Lui, Chi:</t>
        </r>
        <r>
          <rPr>
            <sz val="9"/>
            <color indexed="81"/>
            <rFont val="Tahoma"/>
            <family val="2"/>
          </rPr>
          <t xml:space="preserve">
0.30 changed to 0.60 inch pressure drop based on ASHRAE min filter MERV-8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Lui, Chi</author>
    <author>ICF0X97</author>
  </authors>
  <commentList>
    <comment ref="G49" authorId="0" shapeId="0" xr:uid="{096D920D-D51D-4875-AD40-50257D0EFDED}">
      <text>
        <r>
          <rPr>
            <b/>
            <sz val="9"/>
            <color indexed="81"/>
            <rFont val="Tahoma"/>
            <family val="2"/>
          </rPr>
          <t>Lui, Chi:</t>
        </r>
        <r>
          <rPr>
            <sz val="9"/>
            <color indexed="81"/>
            <rFont val="Tahoma"/>
            <family val="2"/>
          </rPr>
          <t xml:space="preserve">
Refer to Janese Table column "I", this is amount of moisture removed, value remain the same for all</t>
        </r>
      </text>
    </comment>
    <comment ref="E50" authorId="1" shapeId="0" xr:uid="{12C76327-B35C-4F8F-850E-C4B99E2004FC}">
      <text>
        <r>
          <rPr>
            <b/>
            <sz val="8"/>
            <color indexed="81"/>
            <rFont val="Tahoma"/>
            <family val="2"/>
          </rPr>
          <t>Changed from 11.2 to 11.8: Based on 10 Tons DX minimum efficiency per ASHRAE 90.1 - 2019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E53" authorId="0" shapeId="0" xr:uid="{CA97BAFD-54AD-4D6E-8AD3-40EDC7AB53E1}">
      <text>
        <r>
          <rPr>
            <b/>
            <sz val="9"/>
            <color indexed="81"/>
            <rFont val="Tahoma"/>
            <family val="2"/>
          </rPr>
          <t>Lui, Chi:</t>
        </r>
        <r>
          <rPr>
            <sz val="9"/>
            <color indexed="81"/>
            <rFont val="Tahoma"/>
            <family val="2"/>
          </rPr>
          <t xml:space="preserve">
0.50 changed to 0.60 based on ASHRAE requirement of FEI&lt;=1.0 equate Fan Eff of 0.60 (AMCA 208-2018)</t>
        </r>
      </text>
    </comment>
    <comment ref="I53" authorId="0" shapeId="0" xr:uid="{0362223C-C407-44DD-B169-24BBEE1EB87D}">
      <text>
        <r>
          <rPr>
            <b/>
            <sz val="9"/>
            <color indexed="81"/>
            <rFont val="Tahoma"/>
            <family val="2"/>
          </rPr>
          <t>Lui, Chi:</t>
        </r>
        <r>
          <rPr>
            <sz val="9"/>
            <color indexed="81"/>
            <rFont val="Tahoma"/>
            <family val="2"/>
          </rPr>
          <t xml:space="preserve">
0.30 changed to 0.60 inch pressure drop based on ASHRAE min filter MERV-8</t>
        </r>
      </text>
    </comment>
    <comment ref="E54" authorId="0" shapeId="0" xr:uid="{D9701214-D181-4E24-B9B4-6156963FBB54}">
      <text>
        <r>
          <rPr>
            <b/>
            <sz val="9"/>
            <color indexed="81"/>
            <rFont val="Tahoma"/>
            <family val="2"/>
          </rPr>
          <t>Lui, Chi:</t>
        </r>
        <r>
          <rPr>
            <sz val="9"/>
            <color indexed="81"/>
            <rFont val="Tahoma"/>
            <family val="2"/>
          </rPr>
          <t xml:space="preserve">
Changed from 84% to 85.5% based on EISA 2007</t>
        </r>
      </text>
    </comment>
  </commentList>
</comments>
</file>

<file path=xl/sharedStrings.xml><?xml version="1.0" encoding="utf-8"?>
<sst xmlns="http://schemas.openxmlformats.org/spreadsheetml/2006/main" count="242" uniqueCount="154">
  <si>
    <t>Energy Recovery Ventilation (ERV) Calculation</t>
  </si>
  <si>
    <t> </t>
  </si>
  <si>
    <r>
      <rPr>
        <b/>
        <sz val="14"/>
        <color rgb="FF000000"/>
        <rFont val="Cambria"/>
      </rPr>
      <t>Required Inputs:</t>
    </r>
    <r>
      <rPr>
        <b/>
        <sz val="14"/>
        <color rgb="FFFF0000"/>
        <rFont val="Cambria"/>
      </rPr>
      <t xml:space="preserve"> Thermal Effectiveness, Pressure Drop, SCFM</t>
    </r>
  </si>
  <si>
    <t>Job Specific Inputs</t>
  </si>
  <si>
    <t>ERV</t>
  </si>
  <si>
    <t>Description</t>
  </si>
  <si>
    <t>Code</t>
  </si>
  <si>
    <t>Value</t>
  </si>
  <si>
    <t>AHRI's Net Total Cooling Thermal Effectiveness  Rating</t>
  </si>
  <si>
    <t>Unit_Cooling_NTER</t>
  </si>
  <si>
    <t xml:space="preserve">  Minimum Qualification must be 50% or greater</t>
  </si>
  <si>
    <t>AHRI Pressure Drop ERV Unit (Inches)</t>
  </si>
  <si>
    <t>Unit_Pressure Drop</t>
  </si>
  <si>
    <t>Airflow Rating (min of outside air or exhaust) scfm</t>
  </si>
  <si>
    <t>Unit_Airflow_Rating</t>
  </si>
  <si>
    <t>Program Level Inputs</t>
  </si>
  <si>
    <t>Cooling Rebate</t>
  </si>
  <si>
    <t>Outside Air Flow</t>
  </si>
  <si>
    <t>Out_Air_Flow</t>
  </si>
  <si>
    <t>scfm =&gt;</t>
  </si>
  <si>
    <t>Out_lbs_per_hr</t>
  </si>
  <si>
    <t>lb/hr  @</t>
  </si>
  <si>
    <t>Lb/Cu Ft</t>
  </si>
  <si>
    <t>Efficiency Basis</t>
  </si>
  <si>
    <t>ERV_EER</t>
  </si>
  <si>
    <t xml:space="preserve">EER </t>
  </si>
  <si>
    <t>Basis_kWperTon</t>
  </si>
  <si>
    <t>kw/ton</t>
  </si>
  <si>
    <t>Outside Air</t>
  </si>
  <si>
    <t>Out_Cool_Enthalpy</t>
  </si>
  <si>
    <t>Btu/lb @</t>
  </si>
  <si>
    <t>Outside Conditions Temperatures</t>
  </si>
  <si>
    <t>DB</t>
  </si>
  <si>
    <t>95 F</t>
  </si>
  <si>
    <t>WB</t>
  </si>
  <si>
    <t>78 F</t>
  </si>
  <si>
    <t>Exhaust Air</t>
  </si>
  <si>
    <t>Exh_Cool_Enthalpy</t>
  </si>
  <si>
    <t>Indoor Conditions Temperatures</t>
  </si>
  <si>
    <t>75 F</t>
  </si>
  <si>
    <t>63 F</t>
  </si>
  <si>
    <t>Fan Eff</t>
  </si>
  <si>
    <t>Fan_Eff</t>
  </si>
  <si>
    <t>Eff</t>
  </si>
  <si>
    <t>Motor Eff</t>
  </si>
  <si>
    <t>Motor_Eff</t>
  </si>
  <si>
    <t>BES Impact Factor</t>
  </si>
  <si>
    <t>BES</t>
  </si>
  <si>
    <t>Air Horse Power</t>
  </si>
  <si>
    <t>Filter Pres Drop</t>
  </si>
  <si>
    <t>Filter_PD</t>
  </si>
  <si>
    <t>inch</t>
  </si>
  <si>
    <t>PAHP = q* dpinWG*SG / 6356</t>
  </si>
  <si>
    <t>Aux Power</t>
  </si>
  <si>
    <t>Aux_Power</t>
  </si>
  <si>
    <t>kW/1000 cfm</t>
  </si>
  <si>
    <t>where</t>
  </si>
  <si>
    <t>Minimum Qualified Thermal Effectiveness</t>
  </si>
  <si>
    <t>MIN_NTER</t>
  </si>
  <si>
    <t>PAHP =  Air Horse Power (hp)</t>
  </si>
  <si>
    <t>FPL Rebate ===&gt;</t>
  </si>
  <si>
    <t>ERV_Inc</t>
  </si>
  <si>
    <t>$/kW</t>
  </si>
  <si>
    <t>q = air flow (cfm)</t>
  </si>
  <si>
    <t>Summer kW Factor</t>
  </si>
  <si>
    <t>ERV_SkW</t>
  </si>
  <si>
    <t>SG = Specific Gravity Air (= 1.0)</t>
  </si>
  <si>
    <t>Winter kW Factor</t>
  </si>
  <si>
    <t>ERV_WkW</t>
  </si>
  <si>
    <t>dpinWG = total pressure (in. W.G)</t>
  </si>
  <si>
    <t>kWh Factor</t>
  </si>
  <si>
    <t>ERV_kWh</t>
  </si>
  <si>
    <t>CALCULATIONS</t>
  </si>
  <si>
    <t>Meets minimum NTER qualifications</t>
  </si>
  <si>
    <t>Calc_NTER</t>
  </si>
  <si>
    <t>Cooling Watts per CFM</t>
  </si>
  <si>
    <t>=</t>
  </si>
  <si>
    <t>Outside Air Removed (lb/hr) * AHRI Net Thermal Effect * (Outside Enthalpy (BTU/lb) - Exhaust Enthalpy (Btu/lb))/12,000 (btu/ton) * Base Efficiency (kW/ton)
- (Outside Air Flow (scfm) * [(AHRI Press Drop (inch) + Filter Pressure Drop (inch))/(6356 * Fan Eff * Motor Eff))*.746 kW/HP*2 motors - Aux Power (kW/1000 cfm)/1000) * (BES)*1000</t>
  </si>
  <si>
    <t>Total Cooling kW at Meter</t>
  </si>
  <si>
    <t>Results</t>
  </si>
  <si>
    <t>Summer kW</t>
  </si>
  <si>
    <t>Winter kW</t>
  </si>
  <si>
    <t>kWh</t>
  </si>
  <si>
    <t>Incentive</t>
  </si>
  <si>
    <t>DNQ = DOES NOT QUALIFY</t>
  </si>
  <si>
    <t>For additional support:</t>
  </si>
  <si>
    <t>Business HVAC Program Support:</t>
  </si>
  <si>
    <t>Mike.Catarzi@fpl.com</t>
  </si>
  <si>
    <t>Busines HVAC Technical Support:</t>
  </si>
  <si>
    <t>Chi.Lui@fpl.com</t>
  </si>
  <si>
    <t>Abel.Alonso@fpl.com</t>
  </si>
  <si>
    <t xml:space="preserve">Energy Recovery Ventilator Rebate Table  -  HVAC Systems </t>
  </si>
  <si>
    <t>$ Per Cfm Air Flow</t>
  </si>
  <si>
    <t>Wattage Reduction  per Cfm</t>
  </si>
  <si>
    <t>Based on AHRI Standard 1060</t>
  </si>
  <si>
    <t>AHRI Net Thermal Effectiveness Rating  ===&gt;</t>
  </si>
  <si>
    <t>50% to 54%</t>
  </si>
  <si>
    <t>Savings</t>
  </si>
  <si>
    <t>55% to 59%</t>
  </si>
  <si>
    <t>60% to 64%</t>
  </si>
  <si>
    <t>65% to 69%</t>
  </si>
  <si>
    <t>70% to 74%</t>
  </si>
  <si>
    <t>75% to 79%</t>
  </si>
  <si>
    <t>80% or more</t>
  </si>
  <si>
    <t>AHRI PD Inches</t>
  </si>
  <si>
    <t>$ per cfm</t>
  </si>
  <si>
    <t>watts per cfm</t>
  </si>
  <si>
    <t>Heating Rebates Applies Only  to Electrically Heated Facilities</t>
  </si>
  <si>
    <t>Elect Strip</t>
  </si>
  <si>
    <t>Heat Pump</t>
  </si>
  <si>
    <t>Example DX/ERV  Rebate Calculations</t>
  </si>
  <si>
    <t xml:space="preserve">Airflow Rating (min of outside air or exhaust) </t>
  </si>
  <si>
    <t>scfm</t>
  </si>
  <si>
    <t xml:space="preserve">ARI's Pressure Drop ERV Unit </t>
  </si>
  <si>
    <t>ARI's Net Total Cooling Thermal Effectiveness  Rating</t>
  </si>
  <si>
    <t>ERV Cooling Rebate per 940 scfm</t>
  </si>
  <si>
    <t xml:space="preserve"> / cfm</t>
  </si>
  <si>
    <t>ARI's Net Total Heating Thermal Effectiveness  Rating</t>
  </si>
  <si>
    <t xml:space="preserve">Rebate = </t>
  </si>
  <si>
    <t>per cfm  X</t>
  </si>
  <si>
    <t xml:space="preserve"> cfm =&gt;</t>
  </si>
  <si>
    <t>Total Rebate</t>
  </si>
  <si>
    <t xml:space="preserve">Summer KW = </t>
  </si>
  <si>
    <t>KW</t>
  </si>
  <si>
    <t>Assumptions</t>
  </si>
  <si>
    <t>Average kW Reduction</t>
  </si>
  <si>
    <t>kW</t>
  </si>
  <si>
    <t>Pressure Drop Range Average 0.70 =&gt; 1.30</t>
  </si>
  <si>
    <t>Average $ per CFM</t>
  </si>
  <si>
    <t>per CFM</t>
  </si>
  <si>
    <t xml:space="preserve">Rebate </t>
  </si>
  <si>
    <t>Inputs:</t>
  </si>
  <si>
    <t>Inch</t>
  </si>
  <si>
    <t>%</t>
  </si>
  <si>
    <t>AHRI's Exhaust airflow (CFM)</t>
  </si>
  <si>
    <t>CFM</t>
  </si>
  <si>
    <t>AHRI's Outside airflow (CFM)</t>
  </si>
  <si>
    <t>Conditions:</t>
  </si>
  <si>
    <t>Calculation for rebate: use lower CFM value provided bewtween exhaust and outside airflow</t>
  </si>
  <si>
    <t>Outputs:</t>
  </si>
  <si>
    <t>Rebate dollar amount</t>
  </si>
  <si>
    <t>KW reduction at the meter (summer)</t>
  </si>
  <si>
    <t>Based on sample calculation above</t>
  </si>
  <si>
    <t xml:space="preserve">KW reduction at the meter (winter) = 2.96 X Summer KW reduction at meter </t>
  </si>
  <si>
    <t>KWh = 1517.0 for every summer kW reduction at the meter</t>
  </si>
  <si>
    <t>Notes</t>
  </si>
  <si>
    <t>1. The AHRI Net Total Thermal Effectiveness  for the cooling condition  must be 50% or greater to qualify for ERV Rebate</t>
  </si>
  <si>
    <t>2. The airflow capacity for Rebate calculations shall be the actual exhaust air flow or outside air flow, whichever is least,  as specified in the ERV equipment specifications.</t>
  </si>
  <si>
    <t xml:space="preserve">3. AHRI‘s100%  Nominal Airflow capacity will be used for the airflow Rebate calculations if actual  air flow exceeds AHRI’s listed 100% Nominal Airflow. </t>
  </si>
  <si>
    <t xml:space="preserve">4. The Net Total Thermal Effectiveness from AHRI’s 75% Airflow Conditions shall be used if ERV equipment actual outside or exhaust air flow specifications are 75% or less of AHRI Nominal Airflow capacity. </t>
  </si>
  <si>
    <t>5. A copy of air flow design submittal for the ERV must be received by FPL prior to Rebate payment processing.</t>
  </si>
  <si>
    <t>6. Rebate Program does not apply to new construction projects that required ERV by code</t>
  </si>
  <si>
    <t>Multiple Units</t>
  </si>
  <si>
    <t>Number of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</si>
</sst>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_(&quot;$&quot;* #,##0_);_(&quot;$&quot;* \(#,##0\);_(&quot;$&quot;* &quot;-&quot;??_);_(@_)"/>
    <numFmt numFmtId="167" formatCode="0.000"/>
    <numFmt numFmtId="168" formatCode="0.0000"/>
    <numFmt numFmtId="169" formatCode="_(* #,##0_);_(* \(#,##0\);_(* &quot;-&quot;??_);_(@_)"/>
    <numFmt numFmtId="170" formatCode="#,##0.0_);\(#,##0.0\)"/>
    <numFmt numFmtId="171" formatCode="0.0\ \B\t\u\ \l\b"/>
    <numFmt numFmtId="172" formatCode="_(&quot;$&quot;* #,##0.000_);_(&quot;$&quot;* \(#,##0.000\);_(&quot;$&quot;* &quot;-&quot;??_);_(@_)"/>
    <numFmt numFmtId="173" formatCode="_(* #,##0.0_);_(* \(#,##0.0\);_(* &quot;-&quot;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color rgb="FF00206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4"/>
      <color indexed="16"/>
      <name val="Arial"/>
      <family val="2"/>
    </font>
    <font>
      <sz val="10"/>
      <name val="Arial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000000"/>
      <name val="Cambria"/>
    </font>
    <font>
      <sz val="11"/>
      <color rgb="FFFF0000"/>
      <name val="Calibri"/>
      <family val="2"/>
    </font>
    <font>
      <b/>
      <sz val="12"/>
      <color rgb="FFFF0000"/>
      <name val="Calibri"/>
      <family val="2"/>
    </font>
    <font>
      <b/>
      <sz val="11"/>
      <color rgb="FF000000"/>
      <name val="Calibri"/>
      <family val="2"/>
      <scheme val="minor"/>
    </font>
    <font>
      <b/>
      <sz val="18"/>
      <color rgb="FFFFFFFF"/>
      <name val="Cambria"/>
    </font>
    <font>
      <b/>
      <sz val="18"/>
      <name val="Cambria"/>
    </font>
    <font>
      <sz val="11"/>
      <name val="Calibri"/>
      <family val="2"/>
    </font>
    <font>
      <b/>
      <sz val="14"/>
      <color rgb="FFFF0000"/>
      <name val="Cambria"/>
    </font>
    <font>
      <b/>
      <sz val="14"/>
      <color rgb="FF000000"/>
      <name val="Cambria"/>
    </font>
    <font>
      <sz val="11"/>
      <color rgb="FF000000"/>
      <name val="Calibri"/>
      <family val="2"/>
    </font>
    <font>
      <sz val="12"/>
      <color rgb="FFFFFFFF"/>
      <name val="Calibri"/>
    </font>
    <font>
      <sz val="11"/>
      <color rgb="FFFFFFFF"/>
      <name val="Calibri"/>
      <family val="2"/>
    </font>
    <font>
      <b/>
      <i/>
      <sz val="11"/>
      <color rgb="FFFF0000"/>
      <name val="Calibri"/>
      <family val="2"/>
      <scheme val="minor"/>
    </font>
    <font>
      <sz val="14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FFFFFF"/>
        <bgColor rgb="FF000000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Fill="0" applyBorder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 applyFill="0" applyBorder="0" applyProtection="0"/>
    <xf numFmtId="0" fontId="30" fillId="0" borderId="0" applyNumberFormat="0" applyFill="0" applyBorder="0" applyAlignment="0" applyProtection="0"/>
  </cellStyleXfs>
  <cellXfs count="267">
    <xf numFmtId="0" fontId="0" fillId="0" borderId="0" xfId="0"/>
    <xf numFmtId="165" fontId="4" fillId="2" borderId="4" xfId="4" applyNumberFormat="1" applyFont="1" applyFill="1" applyBorder="1" applyAlignment="1" applyProtection="1">
      <alignment horizontal="left"/>
      <protection locked="0"/>
    </xf>
    <xf numFmtId="165" fontId="11" fillId="2" borderId="4" xfId="4" applyNumberFormat="1" applyFont="1" applyFill="1" applyBorder="1" applyAlignment="1" applyProtection="1">
      <alignment horizontal="left"/>
      <protection locked="0"/>
    </xf>
    <xf numFmtId="167" fontId="12" fillId="2" borderId="4" xfId="4" applyNumberFormat="1" applyFont="1" applyFill="1" applyBorder="1" applyAlignment="1" applyProtection="1">
      <alignment horizontal="left"/>
      <protection locked="0"/>
    </xf>
    <xf numFmtId="0" fontId="11" fillId="2" borderId="4" xfId="4" applyFont="1" applyFill="1" applyBorder="1" applyProtection="1">
      <protection locked="0"/>
    </xf>
    <xf numFmtId="0" fontId="11" fillId="2" borderId="4" xfId="4" applyFont="1" applyFill="1" applyBorder="1"/>
    <xf numFmtId="0" fontId="11" fillId="2" borderId="4" xfId="4" applyFont="1" applyFill="1" applyBorder="1" applyAlignment="1" applyProtection="1">
      <alignment horizontal="left"/>
      <protection locked="0"/>
    </xf>
    <xf numFmtId="167" fontId="11" fillId="2" borderId="4" xfId="4" applyNumberFormat="1" applyFont="1" applyFill="1" applyBorder="1" applyAlignment="1" applyProtection="1">
      <alignment horizontal="left"/>
      <protection locked="0"/>
    </xf>
    <xf numFmtId="0" fontId="13" fillId="2" borderId="4" xfId="4" applyFont="1" applyFill="1" applyBorder="1"/>
    <xf numFmtId="0" fontId="11" fillId="2" borderId="5" xfId="4" applyFont="1" applyFill="1" applyBorder="1"/>
    <xf numFmtId="0" fontId="0" fillId="0" borderId="7" xfId="0" quotePrefix="1" applyBorder="1" applyAlignment="1">
      <alignment horizontal="right"/>
    </xf>
    <xf numFmtId="0" fontId="0" fillId="0" borderId="9" xfId="0" quotePrefix="1" applyBorder="1" applyAlignment="1">
      <alignment horizontal="right"/>
    </xf>
    <xf numFmtId="0" fontId="0" fillId="0" borderId="12" xfId="0" applyBorder="1"/>
    <xf numFmtId="0" fontId="15" fillId="0" borderId="0" xfId="0" applyFont="1"/>
    <xf numFmtId="167" fontId="12" fillId="0" borderId="10" xfId="0" applyNumberFormat="1" applyFont="1" applyBorder="1" applyAlignment="1">
      <alignment horizontal="center"/>
    </xf>
    <xf numFmtId="0" fontId="11" fillId="2" borderId="12" xfId="4" applyFont="1" applyFill="1" applyBorder="1"/>
    <xf numFmtId="167" fontId="12" fillId="0" borderId="13" xfId="0" applyNumberFormat="1" applyFont="1" applyBorder="1" applyAlignment="1">
      <alignment horizontal="center"/>
    </xf>
    <xf numFmtId="0" fontId="10" fillId="3" borderId="4" xfId="0" applyFont="1" applyFill="1" applyBorder="1"/>
    <xf numFmtId="0" fontId="13" fillId="2" borderId="4" xfId="4" applyFont="1" applyFill="1" applyBorder="1" applyProtection="1">
      <protection locked="0"/>
    </xf>
    <xf numFmtId="165" fontId="13" fillId="2" borderId="4" xfId="4" applyNumberFormat="1" applyFont="1" applyFill="1" applyBorder="1" applyAlignment="1" applyProtection="1">
      <alignment horizontal="left"/>
      <protection locked="0"/>
    </xf>
    <xf numFmtId="0" fontId="13" fillId="2" borderId="11" xfId="4" applyFont="1" applyFill="1" applyBorder="1" applyProtection="1">
      <protection locked="0"/>
    </xf>
    <xf numFmtId="2" fontId="14" fillId="0" borderId="4" xfId="4" applyNumberFormat="1" applyFont="1" applyFill="1" applyBorder="1" applyProtection="1">
      <protection locked="0"/>
    </xf>
    <xf numFmtId="165" fontId="14" fillId="0" borderId="4" xfId="4" applyNumberFormat="1" applyFont="1" applyFill="1" applyBorder="1" applyProtection="1">
      <protection locked="0"/>
    </xf>
    <xf numFmtId="167" fontId="14" fillId="0" borderId="4" xfId="4" applyNumberFormat="1" applyFont="1" applyFill="1" applyBorder="1" applyProtection="1">
      <protection locked="0"/>
    </xf>
    <xf numFmtId="9" fontId="14" fillId="0" borderId="4" xfId="3" applyFont="1" applyFill="1" applyBorder="1" applyAlignment="1" applyProtection="1">
      <protection locked="0"/>
    </xf>
    <xf numFmtId="164" fontId="14" fillId="0" borderId="4" xfId="3" applyNumberFormat="1" applyFont="1" applyFill="1" applyBorder="1" applyAlignment="1" applyProtection="1">
      <protection locked="0"/>
    </xf>
    <xf numFmtId="0" fontId="14" fillId="0" borderId="4" xfId="4" applyFont="1" applyFill="1" applyBorder="1"/>
    <xf numFmtId="9" fontId="14" fillId="0" borderId="4" xfId="0" applyNumberFormat="1" applyFont="1" applyBorder="1"/>
    <xf numFmtId="6" fontId="14" fillId="0" borderId="4" xfId="4" applyNumberFormat="1" applyFont="1" applyFill="1" applyBorder="1" applyProtection="1">
      <protection locked="0"/>
    </xf>
    <xf numFmtId="43" fontId="14" fillId="0" borderId="4" xfId="1" applyFont="1" applyFill="1" applyBorder="1" applyAlignment="1"/>
    <xf numFmtId="169" fontId="14" fillId="0" borderId="4" xfId="1" applyNumberFormat="1" applyFont="1" applyFill="1" applyBorder="1" applyAlignment="1"/>
    <xf numFmtId="0" fontId="0" fillId="4" borderId="0" xfId="0" applyFill="1"/>
    <xf numFmtId="43" fontId="0" fillId="2" borderId="23" xfId="1" applyFont="1" applyFill="1" applyBorder="1"/>
    <xf numFmtId="44" fontId="0" fillId="2" borderId="23" xfId="2" applyFont="1" applyFill="1" applyBorder="1"/>
    <xf numFmtId="0" fontId="11" fillId="2" borderId="5" xfId="4" applyFont="1" applyFill="1" applyBorder="1" applyProtection="1">
      <protection locked="0"/>
    </xf>
    <xf numFmtId="167" fontId="12" fillId="2" borderId="5" xfId="4" applyNumberFormat="1" applyFont="1" applyFill="1" applyBorder="1" applyAlignment="1" applyProtection="1">
      <alignment horizontal="center"/>
      <protection locked="0"/>
    </xf>
    <xf numFmtId="0" fontId="3" fillId="2" borderId="0" xfId="4" applyFill="1"/>
    <xf numFmtId="0" fontId="16" fillId="2" borderId="0" xfId="4" applyFont="1" applyFill="1" applyAlignment="1">
      <alignment horizontal="left"/>
    </xf>
    <xf numFmtId="0" fontId="3" fillId="0" borderId="0" xfId="4"/>
    <xf numFmtId="0" fontId="16" fillId="2" borderId="0" xfId="4" applyFont="1" applyFill="1" applyAlignment="1">
      <alignment horizontal="center"/>
    </xf>
    <xf numFmtId="0" fontId="17" fillId="2" borderId="0" xfId="4" applyFont="1" applyFill="1" applyBorder="1"/>
    <xf numFmtId="0" fontId="3" fillId="2" borderId="0" xfId="4" applyFill="1" applyBorder="1"/>
    <xf numFmtId="0" fontId="17" fillId="2" borderId="0" xfId="4" applyFont="1" applyFill="1" applyBorder="1" applyAlignment="1" applyProtection="1">
      <alignment wrapText="1"/>
      <protection locked="0"/>
    </xf>
    <xf numFmtId="0" fontId="4" fillId="2" borderId="0" xfId="4" applyFont="1" applyFill="1" applyBorder="1" applyProtection="1">
      <protection locked="0"/>
    </xf>
    <xf numFmtId="6" fontId="4" fillId="2" borderId="0" xfId="4" applyNumberFormat="1" applyFont="1" applyFill="1" applyBorder="1" applyAlignment="1" applyProtection="1">
      <alignment horizontal="center"/>
      <protection locked="0"/>
    </xf>
    <xf numFmtId="6" fontId="4" fillId="2" borderId="0" xfId="5" applyNumberFormat="1" applyFont="1" applyFill="1" applyBorder="1" applyAlignment="1" applyProtection="1">
      <alignment horizontal="center"/>
      <protection locked="0"/>
    </xf>
    <xf numFmtId="0" fontId="4" fillId="2" borderId="0" xfId="4" applyFont="1" applyFill="1" applyBorder="1" applyAlignment="1" applyProtection="1">
      <alignment horizontal="center"/>
      <protection locked="0"/>
    </xf>
    <xf numFmtId="0" fontId="3" fillId="2" borderId="18" xfId="4" applyFill="1" applyBorder="1"/>
    <xf numFmtId="0" fontId="18" fillId="0" borderId="0" xfId="4" applyFont="1"/>
    <xf numFmtId="0" fontId="20" fillId="2" borderId="0" xfId="4" applyFont="1" applyFill="1" applyBorder="1" applyProtection="1">
      <protection locked="0"/>
    </xf>
    <xf numFmtId="0" fontId="3" fillId="2" borderId="1" xfId="4" applyFill="1" applyBorder="1"/>
    <xf numFmtId="0" fontId="4" fillId="2" borderId="1" xfId="4" applyFont="1" applyFill="1" applyBorder="1"/>
    <xf numFmtId="0" fontId="4" fillId="2" borderId="0" xfId="4" applyFont="1" applyFill="1" applyBorder="1"/>
    <xf numFmtId="0" fontId="4" fillId="2" borderId="2" xfId="4" applyFont="1" applyFill="1" applyBorder="1" applyAlignment="1" applyProtection="1">
      <alignment horizontal="center"/>
      <protection locked="0"/>
    </xf>
    <xf numFmtId="6" fontId="4" fillId="2" borderId="1" xfId="5" applyNumberFormat="1" applyFont="1" applyFill="1" applyBorder="1" applyAlignment="1" applyProtection="1">
      <alignment horizontal="left"/>
      <protection locked="0"/>
    </xf>
    <xf numFmtId="0" fontId="4" fillId="2" borderId="1" xfId="4" applyFont="1" applyFill="1" applyBorder="1" applyAlignment="1" applyProtection="1">
      <alignment horizontal="left"/>
      <protection locked="0"/>
    </xf>
    <xf numFmtId="0" fontId="4" fillId="2" borderId="0" xfId="4" applyFont="1" applyFill="1" applyBorder="1" applyAlignment="1" applyProtection="1">
      <alignment horizontal="left"/>
      <protection locked="0"/>
    </xf>
    <xf numFmtId="0" fontId="20" fillId="2" borderId="18" xfId="4" applyFont="1" applyFill="1" applyBorder="1" applyProtection="1">
      <protection locked="0"/>
    </xf>
    <xf numFmtId="0" fontId="4" fillId="2" borderId="1" xfId="4" applyFont="1" applyFill="1" applyBorder="1" applyAlignment="1" applyProtection="1">
      <alignment wrapText="1"/>
      <protection locked="0"/>
    </xf>
    <xf numFmtId="164" fontId="4" fillId="2" borderId="27" xfId="6" applyNumberFormat="1" applyFont="1" applyFill="1" applyBorder="1" applyAlignment="1" applyProtection="1">
      <alignment horizontal="center"/>
      <protection locked="0"/>
    </xf>
    <xf numFmtId="9" fontId="17" fillId="2" borderId="28" xfId="4" applyNumberFormat="1" applyFont="1" applyFill="1" applyBorder="1" applyAlignment="1" applyProtection="1">
      <alignment horizontal="center" wrapText="1"/>
      <protection locked="0"/>
    </xf>
    <xf numFmtId="164" fontId="17" fillId="2" borderId="28" xfId="4" applyNumberFormat="1" applyFont="1" applyFill="1" applyBorder="1" applyAlignment="1" applyProtection="1">
      <alignment horizontal="center" wrapText="1"/>
      <protection locked="0"/>
    </xf>
    <xf numFmtId="164" fontId="4" fillId="2" borderId="29" xfId="6" applyNumberFormat="1" applyFont="1" applyFill="1" applyBorder="1" applyAlignment="1" applyProtection="1">
      <alignment horizontal="center"/>
      <protection locked="0"/>
    </xf>
    <xf numFmtId="0" fontId="20" fillId="2" borderId="3" xfId="4" applyFont="1" applyFill="1" applyBorder="1" applyProtection="1">
      <protection locked="0"/>
    </xf>
    <xf numFmtId="0" fontId="20" fillId="2" borderId="1" xfId="4" applyFont="1" applyFill="1" applyBorder="1" applyProtection="1">
      <protection locked="0"/>
    </xf>
    <xf numFmtId="0" fontId="20" fillId="2" borderId="0" xfId="4" applyFont="1" applyFill="1" applyProtection="1">
      <protection locked="0"/>
    </xf>
    <xf numFmtId="0" fontId="4" fillId="0" borderId="0" xfId="4" applyFont="1" applyFill="1" applyBorder="1" applyAlignment="1" applyProtection="1">
      <alignment horizontal="center"/>
      <protection locked="0"/>
    </xf>
    <xf numFmtId="0" fontId="3" fillId="2" borderId="0" xfId="4" applyFill="1" applyAlignment="1">
      <alignment horizontal="center"/>
    </xf>
    <xf numFmtId="0" fontId="17" fillId="2" borderId="0" xfId="4" applyFont="1" applyFill="1" applyBorder="1" applyAlignment="1">
      <alignment horizontal="center"/>
    </xf>
    <xf numFmtId="0" fontId="4" fillId="2" borderId="30" xfId="4" applyFont="1" applyFill="1" applyBorder="1" applyAlignment="1" applyProtection="1">
      <alignment horizontal="center" wrapText="1"/>
      <protection locked="0"/>
    </xf>
    <xf numFmtId="9" fontId="4" fillId="3" borderId="31" xfId="6" applyFont="1" applyFill="1" applyBorder="1" applyAlignment="1" applyProtection="1">
      <alignment horizontal="center"/>
      <protection locked="0"/>
    </xf>
    <xf numFmtId="0" fontId="17" fillId="3" borderId="31" xfId="4" applyFont="1" applyFill="1" applyBorder="1" applyAlignment="1" applyProtection="1">
      <alignment horizontal="center" wrapText="1"/>
      <protection locked="0"/>
    </xf>
    <xf numFmtId="9" fontId="4" fillId="3" borderId="32" xfId="6" applyFont="1" applyFill="1" applyBorder="1" applyAlignment="1" applyProtection="1">
      <alignment horizontal="center"/>
      <protection locked="0"/>
    </xf>
    <xf numFmtId="0" fontId="17" fillId="2" borderId="7" xfId="4" applyFont="1" applyFill="1" applyBorder="1" applyAlignment="1" applyProtection="1">
      <alignment horizontal="center" wrapText="1"/>
      <protection locked="0"/>
    </xf>
    <xf numFmtId="0" fontId="20" fillId="2" borderId="1" xfId="4" applyFont="1" applyFill="1" applyBorder="1" applyAlignment="1" applyProtection="1">
      <alignment horizontal="center"/>
      <protection locked="0"/>
    </xf>
    <xf numFmtId="0" fontId="20" fillId="2" borderId="0" xfId="4" applyFont="1" applyFill="1" applyAlignment="1" applyProtection="1">
      <alignment horizontal="center"/>
      <protection locked="0"/>
    </xf>
    <xf numFmtId="0" fontId="3" fillId="0" borderId="0" xfId="4" applyAlignment="1">
      <alignment horizontal="center"/>
    </xf>
    <xf numFmtId="0" fontId="18" fillId="0" borderId="0" xfId="4" applyFont="1" applyAlignment="1">
      <alignment horizontal="center"/>
    </xf>
    <xf numFmtId="0" fontId="4" fillId="2" borderId="33" xfId="4" applyFont="1" applyFill="1" applyBorder="1" applyAlignment="1" applyProtection="1">
      <alignment horizontal="center" wrapText="1"/>
      <protection locked="0"/>
    </xf>
    <xf numFmtId="0" fontId="21" fillId="2" borderId="34" xfId="4" applyFont="1" applyFill="1" applyBorder="1" applyAlignment="1" applyProtection="1">
      <alignment horizontal="center" wrapText="1"/>
      <protection locked="0"/>
    </xf>
    <xf numFmtId="0" fontId="21" fillId="2" borderId="35" xfId="4" applyFont="1" applyFill="1" applyBorder="1" applyAlignment="1" applyProtection="1">
      <alignment horizontal="center" wrapText="1"/>
      <protection locked="0"/>
    </xf>
    <xf numFmtId="0" fontId="21" fillId="2" borderId="9" xfId="4" applyFont="1" applyFill="1" applyBorder="1" applyAlignment="1" applyProtection="1">
      <alignment horizontal="center" wrapText="1"/>
      <protection locked="0"/>
    </xf>
    <xf numFmtId="9" fontId="4" fillId="2" borderId="1" xfId="6" applyFont="1" applyFill="1" applyBorder="1" applyAlignment="1" applyProtection="1">
      <alignment horizontal="center"/>
      <protection locked="0"/>
    </xf>
    <xf numFmtId="9" fontId="4" fillId="2" borderId="0" xfId="6" applyFont="1" applyFill="1" applyBorder="1" applyAlignment="1" applyProtection="1">
      <alignment horizontal="center"/>
      <protection locked="0"/>
    </xf>
    <xf numFmtId="9" fontId="4" fillId="0" borderId="0" xfId="6" applyFont="1" applyFill="1" applyBorder="1" applyAlignment="1" applyProtection="1">
      <alignment horizontal="center"/>
      <protection locked="0"/>
    </xf>
    <xf numFmtId="170" fontId="9" fillId="3" borderId="36" xfId="7" applyNumberFormat="1" applyFont="1" applyFill="1" applyBorder="1" applyAlignment="1" applyProtection="1">
      <alignment horizontal="center"/>
      <protection locked="0"/>
    </xf>
    <xf numFmtId="39" fontId="4" fillId="5" borderId="37" xfId="7" applyNumberFormat="1" applyFont="1" applyFill="1" applyBorder="1" applyAlignment="1" applyProtection="1">
      <alignment horizontal="center"/>
      <protection locked="0"/>
    </xf>
    <xf numFmtId="2" fontId="22" fillId="6" borderId="0" xfId="4" applyNumberFormat="1" applyFont="1" applyFill="1" applyBorder="1" applyAlignment="1" applyProtection="1">
      <alignment horizontal="center"/>
      <protection locked="0"/>
    </xf>
    <xf numFmtId="39" fontId="4" fillId="5" borderId="37" xfId="5" applyNumberFormat="1" applyFont="1" applyFill="1" applyBorder="1" applyAlignment="1" applyProtection="1">
      <alignment horizontal="center"/>
      <protection locked="0"/>
    </xf>
    <xf numFmtId="39" fontId="4" fillId="5" borderId="38" xfId="7" applyNumberFormat="1" applyFont="1" applyFill="1" applyBorder="1" applyAlignment="1" applyProtection="1">
      <alignment horizontal="center"/>
      <protection locked="0"/>
    </xf>
    <xf numFmtId="167" fontId="4" fillId="2" borderId="1" xfId="4" applyNumberFormat="1" applyFont="1" applyFill="1" applyBorder="1" applyAlignment="1" applyProtection="1">
      <alignment horizontal="center"/>
      <protection locked="0"/>
    </xf>
    <xf numFmtId="167" fontId="4" fillId="2" borderId="0" xfId="4" applyNumberFormat="1" applyFont="1" applyFill="1" applyBorder="1" applyAlignment="1" applyProtection="1">
      <alignment horizontal="center"/>
      <protection locked="0"/>
    </xf>
    <xf numFmtId="167" fontId="4" fillId="0" borderId="0" xfId="4" applyNumberFormat="1" applyFont="1" applyFill="1" applyBorder="1" applyAlignment="1" applyProtection="1">
      <alignment horizontal="center"/>
      <protection locked="0"/>
    </xf>
    <xf numFmtId="170" fontId="9" fillId="3" borderId="39" xfId="7" applyNumberFormat="1" applyFont="1" applyFill="1" applyBorder="1" applyAlignment="1" applyProtection="1">
      <alignment horizontal="center"/>
      <protection locked="0"/>
    </xf>
    <xf numFmtId="39" fontId="4" fillId="0" borderId="40" xfId="7" applyNumberFormat="1" applyFont="1" applyFill="1" applyBorder="1" applyAlignment="1" applyProtection="1">
      <alignment horizontal="center"/>
      <protection locked="0"/>
    </xf>
    <xf numFmtId="39" fontId="4" fillId="0" borderId="40" xfId="5" applyNumberFormat="1" applyFont="1" applyFill="1" applyBorder="1" applyAlignment="1" applyProtection="1">
      <alignment horizontal="center"/>
      <protection locked="0"/>
    </xf>
    <xf numFmtId="39" fontId="4" fillId="0" borderId="41" xfId="7" applyNumberFormat="1" applyFont="1" applyFill="1" applyBorder="1" applyAlignment="1" applyProtection="1">
      <alignment horizontal="center"/>
      <protection locked="0"/>
    </xf>
    <xf numFmtId="39" fontId="4" fillId="5" borderId="40" xfId="7" applyNumberFormat="1" applyFont="1" applyFill="1" applyBorder="1" applyAlignment="1" applyProtection="1">
      <alignment horizontal="center"/>
      <protection locked="0"/>
    </xf>
    <xf numFmtId="39" fontId="4" fillId="5" borderId="40" xfId="5" applyNumberFormat="1" applyFont="1" applyFill="1" applyBorder="1" applyAlignment="1" applyProtection="1">
      <alignment horizontal="center"/>
      <protection locked="0"/>
    </xf>
    <xf numFmtId="39" fontId="4" fillId="5" borderId="41" xfId="7" applyNumberFormat="1" applyFont="1" applyFill="1" applyBorder="1" applyAlignment="1" applyProtection="1">
      <alignment horizontal="center"/>
      <protection locked="0"/>
    </xf>
    <xf numFmtId="170" fontId="9" fillId="3" borderId="33" xfId="7" applyNumberFormat="1" applyFont="1" applyFill="1" applyBorder="1" applyAlignment="1" applyProtection="1">
      <alignment horizontal="center"/>
      <protection locked="0"/>
    </xf>
    <xf numFmtId="39" fontId="4" fillId="0" borderId="34" xfId="7" applyNumberFormat="1" applyFont="1" applyFill="1" applyBorder="1" applyAlignment="1" applyProtection="1">
      <alignment horizontal="center"/>
      <protection locked="0"/>
    </xf>
    <xf numFmtId="2" fontId="22" fillId="6" borderId="18" xfId="4" applyNumberFormat="1" applyFont="1" applyFill="1" applyBorder="1" applyAlignment="1" applyProtection="1">
      <alignment horizontal="center"/>
      <protection locked="0"/>
    </xf>
    <xf numFmtId="39" fontId="4" fillId="0" borderId="34" xfId="5" applyNumberFormat="1" applyFont="1" applyFill="1" applyBorder="1" applyAlignment="1" applyProtection="1">
      <alignment horizontal="center"/>
      <protection locked="0"/>
    </xf>
    <xf numFmtId="39" fontId="4" fillId="0" borderId="35" xfId="7" applyNumberFormat="1" applyFont="1" applyFill="1" applyBorder="1" applyAlignment="1" applyProtection="1">
      <alignment horizontal="center"/>
      <protection locked="0"/>
    </xf>
    <xf numFmtId="165" fontId="4" fillId="2" borderId="0" xfId="4" applyNumberFormat="1" applyFont="1" applyFill="1" applyBorder="1" applyAlignment="1" applyProtection="1">
      <alignment horizontal="center"/>
      <protection locked="0"/>
    </xf>
    <xf numFmtId="44" fontId="4" fillId="2" borderId="0" xfId="5" applyFont="1" applyFill="1" applyBorder="1" applyAlignment="1" applyProtection="1">
      <alignment horizontal="right"/>
      <protection locked="0"/>
    </xf>
    <xf numFmtId="44" fontId="4" fillId="2" borderId="0" xfId="4" applyNumberFormat="1" applyFont="1" applyFill="1" applyBorder="1" applyAlignment="1" applyProtection="1">
      <alignment horizontal="center"/>
      <protection locked="0"/>
    </xf>
    <xf numFmtId="44" fontId="4" fillId="2" borderId="3" xfId="5" applyFont="1" applyFill="1" applyBorder="1" applyAlignment="1" applyProtection="1">
      <alignment horizontal="right"/>
      <protection locked="0"/>
    </xf>
    <xf numFmtId="2" fontId="4" fillId="2" borderId="0" xfId="4" applyNumberFormat="1" applyFont="1" applyFill="1" applyBorder="1" applyAlignment="1" applyProtection="1">
      <alignment horizontal="center"/>
      <protection locked="0"/>
    </xf>
    <xf numFmtId="166" fontId="4" fillId="2" borderId="3" xfId="5" applyNumberFormat="1" applyFont="1" applyFill="1" applyBorder="1" applyAlignment="1" applyProtection="1">
      <alignment horizontal="right"/>
      <protection locked="0"/>
    </xf>
    <xf numFmtId="167" fontId="4" fillId="2" borderId="3" xfId="4" applyNumberFormat="1" applyFont="1" applyFill="1" applyBorder="1" applyAlignment="1" applyProtection="1">
      <alignment horizontal="center"/>
      <protection locked="0"/>
    </xf>
    <xf numFmtId="165" fontId="4" fillId="2" borderId="0" xfId="4" applyNumberFormat="1" applyFont="1" applyFill="1" applyBorder="1" applyAlignment="1" applyProtection="1">
      <alignment horizontal="left"/>
      <protection locked="0"/>
    </xf>
    <xf numFmtId="44" fontId="3" fillId="2" borderId="0" xfId="4" applyNumberFormat="1" applyFill="1" applyBorder="1"/>
    <xf numFmtId="44" fontId="4" fillId="2" borderId="42" xfId="4" applyNumberFormat="1" applyFont="1" applyFill="1" applyBorder="1" applyAlignment="1" applyProtection="1">
      <alignment horizontal="center"/>
      <protection locked="0"/>
    </xf>
    <xf numFmtId="2" fontId="4" fillId="2" borderId="42" xfId="4" applyNumberFormat="1" applyFont="1" applyFill="1" applyBorder="1" applyAlignment="1" applyProtection="1">
      <alignment horizontal="center"/>
      <protection locked="0"/>
    </xf>
    <xf numFmtId="165" fontId="4" fillId="2" borderId="42" xfId="4" applyNumberFormat="1" applyFont="1" applyFill="1" applyBorder="1" applyAlignment="1" applyProtection="1">
      <alignment horizontal="center"/>
      <protection locked="0"/>
    </xf>
    <xf numFmtId="44" fontId="4" fillId="2" borderId="43" xfId="5" applyFont="1" applyFill="1" applyBorder="1" applyAlignment="1" applyProtection="1">
      <alignment horizontal="right"/>
      <protection locked="0"/>
    </xf>
    <xf numFmtId="2" fontId="4" fillId="2" borderId="18" xfId="4" applyNumberFormat="1" applyFont="1" applyFill="1" applyBorder="1" applyAlignment="1" applyProtection="1">
      <alignment horizontal="center"/>
      <protection locked="0"/>
    </xf>
    <xf numFmtId="0" fontId="3" fillId="2" borderId="44" xfId="4" applyFill="1" applyBorder="1"/>
    <xf numFmtId="0" fontId="23" fillId="7" borderId="0" xfId="4" applyFont="1" applyFill="1" applyBorder="1"/>
    <xf numFmtId="0" fontId="17" fillId="7" borderId="0" xfId="4" applyFont="1" applyFill="1" applyBorder="1"/>
    <xf numFmtId="0" fontId="17" fillId="7" borderId="42" xfId="4" applyFont="1" applyFill="1" applyBorder="1"/>
    <xf numFmtId="0" fontId="3" fillId="2" borderId="2" xfId="4" applyFill="1" applyBorder="1"/>
    <xf numFmtId="167" fontId="4" fillId="2" borderId="45" xfId="4" applyNumberFormat="1" applyFont="1" applyFill="1" applyBorder="1" applyAlignment="1" applyProtection="1">
      <alignment horizontal="center"/>
      <protection locked="0"/>
    </xf>
    <xf numFmtId="0" fontId="3" fillId="7" borderId="0" xfId="4" applyFill="1" applyBorder="1"/>
    <xf numFmtId="0" fontId="3" fillId="7" borderId="42" xfId="4" applyFill="1" applyBorder="1"/>
    <xf numFmtId="0" fontId="17" fillId="2" borderId="2" xfId="4" applyFont="1" applyFill="1" applyBorder="1"/>
    <xf numFmtId="165" fontId="17" fillId="7" borderId="0" xfId="4" applyNumberFormat="1" applyFont="1" applyFill="1" applyBorder="1" applyAlignment="1">
      <alignment horizontal="right"/>
    </xf>
    <xf numFmtId="0" fontId="17" fillId="2" borderId="0" xfId="4" applyFont="1" applyFill="1" applyBorder="1" applyProtection="1">
      <protection locked="0"/>
    </xf>
    <xf numFmtId="171" fontId="17" fillId="2" borderId="0" xfId="4" applyNumberFormat="1" applyFont="1" applyFill="1" applyBorder="1" applyAlignment="1">
      <alignment horizontal="center"/>
    </xf>
    <xf numFmtId="0" fontId="24" fillId="2" borderId="0" xfId="4" applyFont="1" applyFill="1" applyBorder="1"/>
    <xf numFmtId="0" fontId="24" fillId="2" borderId="2" xfId="4" applyFont="1" applyFill="1" applyBorder="1"/>
    <xf numFmtId="9" fontId="17" fillId="7" borderId="0" xfId="4" applyNumberFormat="1" applyFont="1" applyFill="1" applyBorder="1" applyAlignment="1">
      <alignment horizontal="right"/>
    </xf>
    <xf numFmtId="0" fontId="3" fillId="2" borderId="45" xfId="4" applyFill="1" applyBorder="1"/>
    <xf numFmtId="44" fontId="17" fillId="7" borderId="0" xfId="4" applyNumberFormat="1" applyFont="1" applyFill="1" applyBorder="1" applyAlignment="1">
      <alignment horizontal="right"/>
    </xf>
    <xf numFmtId="0" fontId="24" fillId="2" borderId="0" xfId="4" applyFont="1" applyFill="1" applyBorder="1" applyAlignment="1" applyProtection="1">
      <alignment horizontal="left"/>
      <protection locked="0"/>
    </xf>
    <xf numFmtId="0" fontId="17" fillId="7" borderId="0" xfId="4" applyFont="1" applyFill="1" applyBorder="1" applyAlignment="1">
      <alignment horizontal="right"/>
    </xf>
    <xf numFmtId="0" fontId="24" fillId="2" borderId="0" xfId="4" applyFont="1" applyFill="1" applyBorder="1" applyAlignment="1">
      <alignment horizontal="left"/>
    </xf>
    <xf numFmtId="0" fontId="17" fillId="2" borderId="0" xfId="4" quotePrefix="1" applyFont="1" applyFill="1" applyBorder="1"/>
    <xf numFmtId="172" fontId="17" fillId="7" borderId="0" xfId="4" applyNumberFormat="1" applyFont="1" applyFill="1" applyBorder="1"/>
    <xf numFmtId="0" fontId="17" fillId="7" borderId="0" xfId="4" applyFont="1" applyFill="1" applyBorder="1" applyAlignment="1">
      <alignment horizontal="left"/>
    </xf>
    <xf numFmtId="0" fontId="17" fillId="7" borderId="0" xfId="4" applyFont="1" applyFill="1" applyBorder="1" applyAlignment="1">
      <alignment horizontal="center"/>
    </xf>
    <xf numFmtId="0" fontId="17" fillId="7" borderId="0" xfId="4" quotePrefix="1" applyFont="1" applyFill="1" applyBorder="1" applyAlignment="1">
      <alignment horizontal="left"/>
    </xf>
    <xf numFmtId="166" fontId="17" fillId="7" borderId="0" xfId="5" applyNumberFormat="1" applyFont="1" applyFill="1" applyBorder="1"/>
    <xf numFmtId="173" fontId="17" fillId="7" borderId="42" xfId="4" applyNumberFormat="1" applyFont="1" applyFill="1" applyBorder="1"/>
    <xf numFmtId="0" fontId="3" fillId="2" borderId="46" xfId="4" applyFill="1" applyBorder="1"/>
    <xf numFmtId="44" fontId="17" fillId="7" borderId="0" xfId="5" applyFont="1" applyFill="1" applyBorder="1"/>
    <xf numFmtId="0" fontId="3" fillId="2" borderId="47" xfId="4" applyFill="1" applyBorder="1"/>
    <xf numFmtId="165" fontId="17" fillId="2" borderId="0" xfId="4" applyNumberFormat="1" applyFont="1" applyFill="1" applyBorder="1" applyAlignment="1" applyProtection="1">
      <alignment horizontal="left"/>
      <protection locked="0"/>
    </xf>
    <xf numFmtId="165" fontId="17" fillId="2" borderId="0" xfId="4" applyNumberFormat="1" applyFont="1" applyFill="1" applyBorder="1" applyAlignment="1" applyProtection="1">
      <alignment horizontal="center"/>
      <protection locked="0"/>
    </xf>
    <xf numFmtId="167" fontId="17" fillId="2" borderId="0" xfId="4" applyNumberFormat="1" applyFont="1" applyFill="1" applyBorder="1" applyAlignment="1" applyProtection="1">
      <alignment horizontal="left"/>
      <protection locked="0"/>
    </xf>
    <xf numFmtId="167" fontId="17" fillId="2" borderId="0" xfId="4" applyNumberFormat="1" applyFont="1" applyFill="1" applyBorder="1" applyAlignment="1" applyProtection="1">
      <alignment horizontal="center"/>
      <protection locked="0"/>
    </xf>
    <xf numFmtId="1" fontId="17" fillId="8" borderId="0" xfId="4" applyNumberFormat="1" applyFont="1" applyFill="1" applyBorder="1" applyAlignment="1" applyProtection="1">
      <alignment horizontal="center"/>
      <protection locked="0"/>
    </xf>
    <xf numFmtId="0" fontId="17" fillId="2" borderId="0" xfId="4" applyFont="1" applyFill="1" applyBorder="1" applyAlignment="1" applyProtection="1">
      <alignment horizontal="center"/>
      <protection locked="0"/>
    </xf>
    <xf numFmtId="164" fontId="17" fillId="3" borderId="11" xfId="6" applyNumberFormat="1" applyFont="1" applyFill="1" applyBorder="1" applyAlignment="1" applyProtection="1">
      <alignment horizontal="center"/>
      <protection locked="0"/>
    </xf>
    <xf numFmtId="6" fontId="17" fillId="2" borderId="0" xfId="4" applyNumberFormat="1" applyFont="1" applyFill="1" applyBorder="1" applyAlignment="1" applyProtection="1">
      <alignment horizontal="center"/>
      <protection locked="0"/>
    </xf>
    <xf numFmtId="0" fontId="17" fillId="2" borderId="0" xfId="4" applyFont="1" applyFill="1" applyAlignment="1">
      <alignment horizontal="right"/>
    </xf>
    <xf numFmtId="2" fontId="17" fillId="2" borderId="0" xfId="4" applyNumberFormat="1" applyFont="1" applyFill="1" applyBorder="1" applyAlignment="1" applyProtection="1">
      <alignment horizontal="center"/>
      <protection locked="0"/>
    </xf>
    <xf numFmtId="167" fontId="17" fillId="2" borderId="0" xfId="4" applyNumberFormat="1" applyFont="1" applyFill="1" applyBorder="1" applyProtection="1">
      <protection locked="0"/>
    </xf>
    <xf numFmtId="0" fontId="17" fillId="2" borderId="2" xfId="4" applyFont="1" applyFill="1" applyBorder="1" applyAlignment="1">
      <alignment horizontal="left"/>
    </xf>
    <xf numFmtId="165" fontId="25" fillId="8" borderId="0" xfId="4" applyNumberFormat="1" applyFont="1" applyFill="1" applyBorder="1" applyAlignment="1" applyProtection="1">
      <alignment horizontal="center"/>
      <protection locked="0"/>
    </xf>
    <xf numFmtId="168" fontId="17" fillId="2" borderId="0" xfId="4" applyNumberFormat="1" applyFont="1" applyFill="1" applyBorder="1" applyProtection="1">
      <protection locked="0"/>
    </xf>
    <xf numFmtId="167" fontId="17" fillId="2" borderId="0" xfId="4" applyNumberFormat="1" applyFont="1" applyFill="1" applyBorder="1" applyAlignment="1">
      <alignment horizontal="center"/>
    </xf>
    <xf numFmtId="168" fontId="3" fillId="2" borderId="0" xfId="4" applyNumberFormat="1" applyFill="1"/>
    <xf numFmtId="167" fontId="17" fillId="8" borderId="0" xfId="4" applyNumberFormat="1" applyFont="1" applyFill="1" applyBorder="1" applyAlignment="1" applyProtection="1">
      <alignment horizontal="center"/>
      <protection locked="0"/>
    </xf>
    <xf numFmtId="0" fontId="17" fillId="3" borderId="0" xfId="4" applyFont="1" applyFill="1" applyBorder="1" applyAlignment="1">
      <alignment horizontal="center"/>
    </xf>
    <xf numFmtId="0" fontId="17" fillId="2" borderId="0" xfId="4" applyFont="1" applyFill="1" applyBorder="1" applyAlignment="1">
      <alignment horizontal="left"/>
    </xf>
    <xf numFmtId="0" fontId="17" fillId="2" borderId="0" xfId="4" applyFont="1" applyFill="1"/>
    <xf numFmtId="167" fontId="17" fillId="0" borderId="0" xfId="4" applyNumberFormat="1" applyFont="1" applyFill="1" applyAlignment="1">
      <alignment horizontal="center"/>
    </xf>
    <xf numFmtId="164" fontId="17" fillId="2" borderId="0" xfId="6" applyNumberFormat="1" applyFont="1" applyFill="1" applyAlignment="1">
      <alignment horizontal="center"/>
    </xf>
    <xf numFmtId="0" fontId="17" fillId="3" borderId="0" xfId="4" applyFont="1" applyFill="1" applyBorder="1" applyAlignment="1" applyProtection="1">
      <alignment horizontal="center"/>
      <protection locked="0"/>
    </xf>
    <xf numFmtId="9" fontId="17" fillId="8" borderId="0" xfId="6" applyFont="1" applyFill="1" applyBorder="1" applyAlignment="1" applyProtection="1">
      <alignment horizontal="center"/>
      <protection locked="0"/>
    </xf>
    <xf numFmtId="0" fontId="17" fillId="2" borderId="0" xfId="4" applyFont="1" applyFill="1" applyBorder="1" applyAlignment="1" applyProtection="1">
      <alignment horizontal="left"/>
      <protection locked="0"/>
    </xf>
    <xf numFmtId="2" fontId="25" fillId="3" borderId="0" xfId="4" applyNumberFormat="1" applyFont="1" applyFill="1" applyBorder="1" applyAlignment="1" applyProtection="1">
      <alignment horizontal="center"/>
      <protection locked="0"/>
    </xf>
    <xf numFmtId="164" fontId="17" fillId="8" borderId="0" xfId="6" applyNumberFormat="1" applyFont="1" applyFill="1" applyBorder="1" applyAlignment="1" applyProtection="1">
      <alignment horizontal="center"/>
      <protection locked="0"/>
    </xf>
    <xf numFmtId="2" fontId="3" fillId="2" borderId="0" xfId="4" applyNumberFormat="1" applyFill="1"/>
    <xf numFmtId="8" fontId="3" fillId="2" borderId="0" xfId="4" applyNumberFormat="1" applyFill="1"/>
    <xf numFmtId="2" fontId="17" fillId="2" borderId="0" xfId="4" applyNumberFormat="1" applyFont="1" applyFill="1"/>
    <xf numFmtId="0" fontId="26" fillId="2" borderId="48" xfId="4" applyFont="1" applyFill="1" applyBorder="1"/>
    <xf numFmtId="0" fontId="26" fillId="2" borderId="49" xfId="4" applyFont="1" applyFill="1" applyBorder="1"/>
    <xf numFmtId="8" fontId="26" fillId="2" borderId="49" xfId="4" applyNumberFormat="1" applyFont="1" applyFill="1" applyBorder="1"/>
    <xf numFmtId="0" fontId="26" fillId="2" borderId="50" xfId="4" applyFont="1" applyFill="1" applyBorder="1"/>
    <xf numFmtId="0" fontId="3" fillId="0" borderId="0" xfId="8" applyFont="1" applyProtection="1">
      <protection locked="0"/>
    </xf>
    <xf numFmtId="0" fontId="3" fillId="3" borderId="0" xfId="8" applyFont="1" applyFill="1" applyProtection="1">
      <protection locked="0"/>
    </xf>
    <xf numFmtId="1" fontId="17" fillId="2" borderId="0" xfId="4" applyNumberFormat="1" applyFont="1" applyFill="1"/>
    <xf numFmtId="9" fontId="17" fillId="2" borderId="0" xfId="6" applyFont="1" applyFill="1"/>
    <xf numFmtId="0" fontId="18" fillId="2" borderId="0" xfId="4" applyFont="1" applyFill="1"/>
    <xf numFmtId="0" fontId="3" fillId="8" borderId="0" xfId="8" applyFont="1" applyFill="1" applyProtection="1">
      <protection locked="0"/>
    </xf>
    <xf numFmtId="2" fontId="3" fillId="8" borderId="0" xfId="5" applyNumberFormat="1" applyFont="1" applyFill="1" applyProtection="1">
      <protection locked="0"/>
    </xf>
    <xf numFmtId="2" fontId="3" fillId="8" borderId="0" xfId="8" applyNumberFormat="1" applyFont="1" applyFill="1" applyProtection="1">
      <protection locked="0"/>
    </xf>
    <xf numFmtId="1" fontId="3" fillId="8" borderId="0" xfId="8" applyNumberFormat="1" applyFont="1" applyFill="1" applyProtection="1">
      <protection locked="0"/>
    </xf>
    <xf numFmtId="0" fontId="28" fillId="9" borderId="51" xfId="0" applyFont="1" applyFill="1" applyBorder="1"/>
    <xf numFmtId="0" fontId="28" fillId="9" borderId="52" xfId="0" applyFont="1" applyFill="1" applyBorder="1"/>
    <xf numFmtId="0" fontId="11" fillId="3" borderId="4" xfId="0" applyFont="1" applyFill="1" applyBorder="1"/>
    <xf numFmtId="164" fontId="29" fillId="0" borderId="4" xfId="3" applyNumberFormat="1" applyFont="1" applyFill="1" applyBorder="1" applyAlignment="1" applyProtection="1">
      <protection locked="0"/>
    </xf>
    <xf numFmtId="0" fontId="29" fillId="0" borderId="4" xfId="0" applyFont="1" applyBorder="1" applyProtection="1">
      <protection locked="0"/>
    </xf>
    <xf numFmtId="169" fontId="29" fillId="0" borderId="4" xfId="1" applyNumberFormat="1" applyFont="1" applyFill="1" applyBorder="1" applyAlignment="1" applyProtection="1">
      <protection locked="0"/>
    </xf>
    <xf numFmtId="0" fontId="31" fillId="10" borderId="53" xfId="0" applyFont="1" applyFill="1" applyBorder="1"/>
    <xf numFmtId="0" fontId="32" fillId="10" borderId="0" xfId="0" applyFont="1" applyFill="1"/>
    <xf numFmtId="0" fontId="0" fillId="11" borderId="0" xfId="0" applyFill="1"/>
    <xf numFmtId="0" fontId="0" fillId="12" borderId="0" xfId="0" applyFill="1"/>
    <xf numFmtId="0" fontId="33" fillId="13" borderId="0" xfId="0" applyFont="1" applyFill="1"/>
    <xf numFmtId="0" fontId="34" fillId="12" borderId="53" xfId="0" applyFont="1" applyFill="1" applyBorder="1"/>
    <xf numFmtId="0" fontId="34" fillId="12" borderId="0" xfId="0" applyFont="1" applyFill="1"/>
    <xf numFmtId="0" fontId="34" fillId="12" borderId="0" xfId="0" applyFont="1" applyFill="1" applyAlignment="1">
      <alignment horizontal="left"/>
    </xf>
    <xf numFmtId="0" fontId="35" fillId="14" borderId="0" xfId="0" applyFont="1" applyFill="1"/>
    <xf numFmtId="0" fontId="36" fillId="14" borderId="0" xfId="0" applyFont="1" applyFill="1"/>
    <xf numFmtId="0" fontId="37" fillId="14" borderId="0" xfId="0" applyFont="1" applyFill="1"/>
    <xf numFmtId="0" fontId="39" fillId="0" borderId="0" xfId="0" applyFont="1"/>
    <xf numFmtId="0" fontId="38" fillId="0" borderId="0" xfId="0" applyFont="1"/>
    <xf numFmtId="0" fontId="40" fillId="14" borderId="0" xfId="0" applyFont="1" applyFill="1"/>
    <xf numFmtId="0" fontId="41" fillId="14" borderId="0" xfId="0" applyFont="1" applyFill="1"/>
    <xf numFmtId="0" fontId="42" fillId="14" borderId="0" xfId="0" applyFont="1" applyFill="1"/>
    <xf numFmtId="0" fontId="30" fillId="15" borderId="0" xfId="9" applyFill="1" applyBorder="1" applyAlignment="1"/>
    <xf numFmtId="0" fontId="39" fillId="14" borderId="0" xfId="0" applyFont="1" applyFill="1"/>
    <xf numFmtId="0" fontId="13" fillId="4" borderId="4" xfId="4" applyFont="1" applyFill="1" applyBorder="1" applyProtection="1">
      <protection locked="0"/>
    </xf>
    <xf numFmtId="167" fontId="13" fillId="4" borderId="4" xfId="4" applyNumberFormat="1" applyFont="1" applyFill="1" applyBorder="1" applyProtection="1">
      <protection locked="0"/>
    </xf>
    <xf numFmtId="168" fontId="13" fillId="4" borderId="4" xfId="4" applyNumberFormat="1" applyFont="1" applyFill="1" applyBorder="1" applyProtection="1">
      <protection locked="0"/>
    </xf>
    <xf numFmtId="0" fontId="13" fillId="4" borderId="4" xfId="4" applyFont="1" applyFill="1" applyBorder="1" applyAlignment="1" applyProtection="1">
      <alignment horizontal="left"/>
      <protection locked="0"/>
    </xf>
    <xf numFmtId="0" fontId="13" fillId="4" borderId="4" xfId="4" applyFont="1" applyFill="1" applyBorder="1"/>
    <xf numFmtId="0" fontId="13" fillId="4" borderId="0" xfId="0" applyFont="1" applyFill="1"/>
    <xf numFmtId="0" fontId="13" fillId="4" borderId="4" xfId="4" applyFont="1" applyFill="1" applyBorder="1" applyAlignment="1" applyProtection="1">
      <alignment horizontal="center"/>
      <protection locked="0"/>
    </xf>
    <xf numFmtId="0" fontId="13" fillId="4" borderId="4" xfId="4" applyFont="1" applyFill="1" applyBorder="1" applyAlignment="1">
      <alignment horizontal="center"/>
    </xf>
    <xf numFmtId="0" fontId="13" fillId="4" borderId="4" xfId="0" applyFont="1" applyFill="1" applyBorder="1"/>
    <xf numFmtId="0" fontId="2" fillId="4" borderId="6" xfId="0" applyFont="1" applyFill="1" applyBorder="1"/>
    <xf numFmtId="0" fontId="0" fillId="4" borderId="7" xfId="0" applyFill="1" applyBorder="1"/>
    <xf numFmtId="167" fontId="0" fillId="4" borderId="13" xfId="0" applyNumberFormat="1" applyFill="1" applyBorder="1"/>
    <xf numFmtId="0" fontId="0" fillId="4" borderId="13" xfId="0" applyFill="1" applyBorder="1"/>
    <xf numFmtId="0" fontId="29" fillId="4" borderId="0" xfId="0" applyFont="1" applyFill="1"/>
    <xf numFmtId="164" fontId="43" fillId="0" borderId="0" xfId="3" applyNumberFormat="1" applyFont="1" applyFill="1" applyBorder="1" applyAlignment="1"/>
    <xf numFmtId="0" fontId="14" fillId="4" borderId="4" xfId="4" applyFont="1" applyFill="1" applyBorder="1" applyProtection="1">
      <protection locked="0"/>
    </xf>
    <xf numFmtId="0" fontId="13" fillId="4" borderId="4" xfId="4" applyFont="1" applyFill="1" applyBorder="1" applyAlignment="1">
      <alignment horizontal="right"/>
    </xf>
    <xf numFmtId="0" fontId="15" fillId="4" borderId="15" xfId="0" applyFont="1" applyFill="1" applyBorder="1"/>
    <xf numFmtId="0" fontId="0" fillId="4" borderId="3" xfId="0" applyFill="1" applyBorder="1"/>
    <xf numFmtId="0" fontId="0" fillId="4" borderId="16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8" xfId="0" applyFill="1" applyBorder="1"/>
    <xf numFmtId="0" fontId="0" fillId="4" borderId="14" xfId="0" applyFill="1" applyBorder="1"/>
    <xf numFmtId="0" fontId="34" fillId="11" borderId="0" xfId="0" applyFont="1" applyFill="1" applyAlignment="1">
      <alignment horizontal="right"/>
    </xf>
    <xf numFmtId="0" fontId="14" fillId="0" borderId="20" xfId="0" applyFont="1" applyBorder="1" applyAlignment="1">
      <alignment horizontal="left" wrapText="1"/>
    </xf>
    <xf numFmtId="0" fontId="14" fillId="4" borderId="21" xfId="0" applyFont="1" applyFill="1" applyBorder="1" applyAlignment="1">
      <alignment horizontal="left" wrapText="1"/>
    </xf>
    <xf numFmtId="0" fontId="14" fillId="4" borderId="22" xfId="0" applyFont="1" applyFill="1" applyBorder="1" applyAlignment="1">
      <alignment horizontal="left" wrapText="1"/>
    </xf>
    <xf numFmtId="0" fontId="19" fillId="2" borderId="24" xfId="4" applyFont="1" applyFill="1" applyBorder="1" applyAlignment="1" applyProtection="1">
      <alignment horizontal="center"/>
      <protection locked="0"/>
    </xf>
    <xf numFmtId="0" fontId="19" fillId="2" borderId="25" xfId="4" applyFont="1" applyFill="1" applyBorder="1" applyAlignment="1" applyProtection="1">
      <alignment horizontal="center"/>
      <protection locked="0"/>
    </xf>
    <xf numFmtId="0" fontId="19" fillId="2" borderId="26" xfId="4" applyFont="1" applyFill="1" applyBorder="1" applyAlignment="1" applyProtection="1">
      <alignment horizontal="center"/>
      <protection locked="0"/>
    </xf>
    <xf numFmtId="9" fontId="14" fillId="0" borderId="0" xfId="0" applyNumberFormat="1" applyFont="1" applyBorder="1"/>
    <xf numFmtId="167" fontId="12" fillId="2" borderId="6" xfId="4" applyNumberFormat="1" applyFont="1" applyFill="1" applyBorder="1" applyAlignment="1" applyProtection="1">
      <alignment horizontal="center"/>
      <protection locked="0"/>
    </xf>
    <xf numFmtId="0" fontId="14" fillId="0" borderId="21" xfId="0" applyFont="1" applyBorder="1" applyAlignment="1">
      <alignment horizontal="left" wrapText="1"/>
    </xf>
    <xf numFmtId="167" fontId="12" fillId="0" borderId="0" xfId="0" applyNumberFormat="1" applyFont="1" applyBorder="1" applyAlignment="1">
      <alignment horizontal="center"/>
    </xf>
    <xf numFmtId="43" fontId="0" fillId="4" borderId="0" xfId="1" applyFont="1" applyFill="1" applyBorder="1"/>
    <xf numFmtId="44" fontId="0" fillId="4" borderId="0" xfId="2" applyFont="1" applyFill="1" applyBorder="1"/>
    <xf numFmtId="0" fontId="30" fillId="14" borderId="0" xfId="9" applyFill="1" applyBorder="1" applyAlignment="1"/>
    <xf numFmtId="0" fontId="28" fillId="4" borderId="0" xfId="0" applyFont="1" applyFill="1" applyBorder="1"/>
    <xf numFmtId="0" fontId="34" fillId="4" borderId="0" xfId="0" applyFont="1" applyFill="1" applyAlignment="1">
      <alignment horizontal="left"/>
    </xf>
    <xf numFmtId="0" fontId="29" fillId="4" borderId="0" xfId="0" applyFont="1" applyFill="1" applyBorder="1" applyProtection="1">
      <protection locked="0"/>
    </xf>
    <xf numFmtId="169" fontId="29" fillId="4" borderId="0" xfId="1" applyNumberFormat="1" applyFont="1" applyFill="1" applyBorder="1" applyAlignment="1" applyProtection="1">
      <protection locked="0"/>
    </xf>
    <xf numFmtId="0" fontId="44" fillId="11" borderId="0" xfId="0" applyFont="1" applyFill="1" applyAlignment="1">
      <alignment horizontal="center"/>
    </xf>
    <xf numFmtId="43" fontId="0" fillId="2" borderId="9" xfId="1" applyFont="1" applyFill="1" applyBorder="1"/>
    <xf numFmtId="43" fontId="0" fillId="2" borderId="54" xfId="1" applyFont="1" applyFill="1" applyBorder="1"/>
    <xf numFmtId="44" fontId="0" fillId="2" borderId="54" xfId="2" applyFont="1" applyFill="1" applyBorder="1"/>
    <xf numFmtId="0" fontId="11" fillId="3" borderId="0" xfId="0" applyFont="1" applyFill="1" applyBorder="1"/>
    <xf numFmtId="0" fontId="10" fillId="3" borderId="0" xfId="0" applyFont="1" applyFill="1" applyBorder="1"/>
  </cellXfs>
  <cellStyles count="10">
    <cellStyle name="Comma" xfId="1" builtinId="3"/>
    <cellStyle name="Comma 2" xfId="7" xr:uid="{CE55D8B7-332C-4352-9C4E-D9ECD98617D9}"/>
    <cellStyle name="Currency" xfId="2" builtinId="4"/>
    <cellStyle name="Currency 2" xfId="5" xr:uid="{1AE3D3A1-7219-43F5-BB13-3E181E3BED89}"/>
    <cellStyle name="Hyperlink" xfId="9" builtinId="8"/>
    <cellStyle name="Normal" xfId="0" builtinId="0"/>
    <cellStyle name="Normal 2" xfId="8" xr:uid="{2B4C7871-F61F-4E5B-A052-F398182239ED}"/>
    <cellStyle name="Normal 3" xfId="4" xr:uid="{302A6C54-9CC0-47F3-8C27-EB0B77078228}"/>
    <cellStyle name="Percent" xfId="3" builtinId="5"/>
    <cellStyle name="Percent 2" xfId="6" xr:uid="{A69238EC-3F54-407C-8B99-C0F37E85FD8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392908</xdr:colOff>
      <xdr:row>3</xdr:row>
      <xdr:rowOff>190500</xdr:rowOff>
    </xdr:from>
    <xdr:to>
      <xdr:col>47</xdr:col>
      <xdr:colOff>130969</xdr:colOff>
      <xdr:row>50</xdr:row>
      <xdr:rowOff>137967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5B3205D2-CA8D-4FAC-B061-5510ED7AF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68808" y="847725"/>
          <a:ext cx="5224461" cy="819611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bel.Alonso@fpl.com" TargetMode="External"/><Relationship Id="rId2" Type="http://schemas.openxmlformats.org/officeDocument/2006/relationships/hyperlink" Target="mailto:Chi.Lui@fpl.com" TargetMode="External"/><Relationship Id="rId1" Type="http://schemas.openxmlformats.org/officeDocument/2006/relationships/hyperlink" Target="mailto:Mike.Catarzi@fp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8A356-3985-4765-B75F-8EDA1DD00C35}">
  <sheetPr>
    <pageSetUpPr fitToPage="1"/>
  </sheetPr>
  <dimension ref="A1:W91"/>
  <sheetViews>
    <sheetView tabSelected="1" zoomScale="90" zoomScaleNormal="90" workbookViewId="0">
      <selection activeCell="F51" sqref="F51"/>
    </sheetView>
  </sheetViews>
  <sheetFormatPr defaultRowHeight="15" x14ac:dyDescent="0.25"/>
  <cols>
    <col min="1" max="1" width="46.85546875" customWidth="1"/>
    <col min="2" max="2" width="13.7109375" hidden="1" customWidth="1"/>
    <col min="3" max="3" width="26" customWidth="1"/>
    <col min="4" max="4" width="0.7109375" customWidth="1"/>
    <col min="5" max="5" width="26" customWidth="1"/>
    <col min="6" max="6" width="12.7109375" customWidth="1"/>
    <col min="7" max="7" width="16" customWidth="1"/>
    <col min="8" max="8" width="18" bestFit="1" customWidth="1"/>
    <col min="10" max="10" width="14.42578125" bestFit="1" customWidth="1"/>
    <col min="12" max="12" width="19.28515625" customWidth="1"/>
    <col min="13" max="13" width="8.5703125" customWidth="1"/>
    <col min="14" max="14" width="34.140625" customWidth="1"/>
  </cols>
  <sheetData>
    <row r="1" spans="1:23" ht="22.5" x14ac:dyDescent="0.3">
      <c r="A1" s="206" t="s">
        <v>0</v>
      </c>
      <c r="B1" s="206"/>
      <c r="C1" s="206"/>
      <c r="D1" s="206"/>
      <c r="E1" s="206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22.5" x14ac:dyDescent="0.3">
      <c r="A2" s="207" t="s">
        <v>1</v>
      </c>
      <c r="B2" s="208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18" x14ac:dyDescent="0.25">
      <c r="A3" s="209" t="s">
        <v>2</v>
      </c>
      <c r="B3" s="210"/>
      <c r="C3" s="210"/>
      <c r="D3" s="210"/>
      <c r="E3" s="210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22.5" x14ac:dyDescent="0.3">
      <c r="A4" s="207" t="s">
        <v>1</v>
      </c>
      <c r="B4" s="208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23" x14ac:dyDescent="0.25">
      <c r="A5" s="192" t="s">
        <v>3</v>
      </c>
      <c r="C5" s="193" t="s">
        <v>4</v>
      </c>
      <c r="D5" s="31"/>
      <c r="E5" s="257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3" x14ac:dyDescent="0.25">
      <c r="A6" s="203" t="s">
        <v>5</v>
      </c>
      <c r="B6" s="204" t="s">
        <v>6</v>
      </c>
      <c r="C6" s="205" t="s">
        <v>7</v>
      </c>
      <c r="D6" s="31"/>
      <c r="E6" s="258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 x14ac:dyDescent="0.25">
      <c r="A7" s="194" t="s">
        <v>8</v>
      </c>
      <c r="B7" s="17" t="s">
        <v>9</v>
      </c>
      <c r="C7" s="195">
        <v>0.752</v>
      </c>
      <c r="D7" s="31"/>
      <c r="E7" s="230" t="s">
        <v>10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spans="1:23" x14ac:dyDescent="0.25">
      <c r="A8" s="194" t="s">
        <v>11</v>
      </c>
      <c r="B8" s="17" t="s">
        <v>12</v>
      </c>
      <c r="C8" s="196">
        <v>1.5</v>
      </c>
      <c r="D8" s="31"/>
      <c r="E8" s="259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x14ac:dyDescent="0.25">
      <c r="A9" s="194" t="s">
        <v>13</v>
      </c>
      <c r="B9" s="17" t="s">
        <v>14</v>
      </c>
      <c r="C9" s="197">
        <v>2600</v>
      </c>
      <c r="D9" s="31"/>
      <c r="E9" s="260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</row>
    <row r="10" spans="1:23" x14ac:dyDescent="0.25">
      <c r="A10" s="265" t="s">
        <v>153</v>
      </c>
      <c r="B10" s="266"/>
      <c r="C10" s="197">
        <v>5</v>
      </c>
      <c r="D10" s="31"/>
      <c r="E10" s="260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</row>
    <row r="11" spans="1:23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</row>
    <row r="12" spans="1:23" hidden="1" x14ac:dyDescent="0.25"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</row>
    <row r="13" spans="1:23" ht="15.75" hidden="1" x14ac:dyDescent="0.25">
      <c r="A13" s="1" t="s">
        <v>15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</row>
    <row r="14" spans="1:23" hidden="1" x14ac:dyDescent="0.25">
      <c r="A14" s="3" t="s">
        <v>16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3" hidden="1" x14ac:dyDescent="0.25">
      <c r="A15" s="4" t="s">
        <v>17</v>
      </c>
      <c r="B15" s="18" t="s">
        <v>18</v>
      </c>
      <c r="C15" s="21">
        <v>1</v>
      </c>
      <c r="D15" s="21"/>
      <c r="E15" s="21"/>
      <c r="F15" s="216" t="s">
        <v>19</v>
      </c>
      <c r="G15" s="216" t="s">
        <v>20</v>
      </c>
      <c r="H15" s="217">
        <f>C15*J15*60</f>
        <v>4.5</v>
      </c>
      <c r="I15" s="216" t="s">
        <v>21</v>
      </c>
      <c r="J15" s="231">
        <v>7.4999999999999997E-2</v>
      </c>
      <c r="K15" s="216" t="s">
        <v>22</v>
      </c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1:23" hidden="1" x14ac:dyDescent="0.25">
      <c r="A16" s="2" t="s">
        <v>23</v>
      </c>
      <c r="B16" s="19" t="s">
        <v>24</v>
      </c>
      <c r="C16" s="22">
        <v>11.8</v>
      </c>
      <c r="D16" s="22"/>
      <c r="E16" s="22"/>
      <c r="F16" s="216" t="s">
        <v>25</v>
      </c>
      <c r="G16" s="216" t="s">
        <v>26</v>
      </c>
      <c r="H16" s="218">
        <f>12/C16</f>
        <v>1.0169491525423728</v>
      </c>
      <c r="I16" s="216" t="s">
        <v>27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1:23" hidden="1" x14ac:dyDescent="0.25">
      <c r="A17" s="4" t="s">
        <v>28</v>
      </c>
      <c r="B17" s="18" t="s">
        <v>29</v>
      </c>
      <c r="C17" s="23">
        <v>41.396000000000001</v>
      </c>
      <c r="D17" s="23"/>
      <c r="E17" s="23"/>
      <c r="F17" s="216" t="s">
        <v>30</v>
      </c>
      <c r="G17" s="216" t="s">
        <v>31</v>
      </c>
      <c r="H17" s="216"/>
      <c r="I17" s="232" t="s">
        <v>32</v>
      </c>
      <c r="J17" s="223" t="s">
        <v>33</v>
      </c>
      <c r="K17" s="232" t="s">
        <v>34</v>
      </c>
      <c r="L17" s="223" t="s">
        <v>35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</row>
    <row r="18" spans="1:23" hidden="1" x14ac:dyDescent="0.25">
      <c r="A18" s="5" t="s">
        <v>36</v>
      </c>
      <c r="B18" s="18" t="s">
        <v>37</v>
      </c>
      <c r="C18" s="23">
        <v>28.484999999999999</v>
      </c>
      <c r="D18" s="23"/>
      <c r="E18" s="23"/>
      <c r="F18" s="216" t="s">
        <v>30</v>
      </c>
      <c r="G18" s="216" t="s">
        <v>38</v>
      </c>
      <c r="H18" s="216"/>
      <c r="I18" s="232" t="s">
        <v>32</v>
      </c>
      <c r="J18" s="222" t="s">
        <v>39</v>
      </c>
      <c r="K18" s="232" t="s">
        <v>34</v>
      </c>
      <c r="L18" s="222" t="s">
        <v>40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</row>
    <row r="19" spans="1:23" hidden="1" x14ac:dyDescent="0.25">
      <c r="A19" s="4" t="s">
        <v>41</v>
      </c>
      <c r="B19" s="18" t="s">
        <v>42</v>
      </c>
      <c r="C19" s="24">
        <v>0.6</v>
      </c>
      <c r="D19" s="24"/>
      <c r="E19" s="24"/>
      <c r="F19" s="219" t="s">
        <v>43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</row>
    <row r="20" spans="1:23" hidden="1" x14ac:dyDescent="0.25">
      <c r="A20" s="4" t="s">
        <v>44</v>
      </c>
      <c r="B20" s="18" t="s">
        <v>45</v>
      </c>
      <c r="C20" s="25">
        <v>0.85499999999999998</v>
      </c>
      <c r="D20" s="25"/>
      <c r="E20" s="25"/>
      <c r="F20" s="219" t="s">
        <v>43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 spans="1:23" ht="15.75" hidden="1" x14ac:dyDescent="0.25">
      <c r="A21" s="7" t="s">
        <v>46</v>
      </c>
      <c r="B21" s="18" t="s">
        <v>47</v>
      </c>
      <c r="C21" s="25">
        <v>1</v>
      </c>
      <c r="D21" s="25"/>
      <c r="E21" s="25"/>
      <c r="F21" s="220"/>
      <c r="G21" s="31"/>
      <c r="H21" s="31"/>
      <c r="I21" s="31"/>
      <c r="J21" s="31"/>
      <c r="K21" s="31"/>
      <c r="L21" s="31"/>
      <c r="M21" s="233" t="s">
        <v>48</v>
      </c>
      <c r="N21" s="234"/>
      <c r="O21" s="235"/>
      <c r="P21" s="31"/>
      <c r="Q21" s="31"/>
      <c r="R21" s="31"/>
      <c r="S21" s="31"/>
      <c r="T21" s="31"/>
      <c r="U21" s="31"/>
      <c r="V21" s="31"/>
      <c r="W21" s="31"/>
    </row>
    <row r="22" spans="1:23" hidden="1" x14ac:dyDescent="0.25">
      <c r="A22" s="6" t="s">
        <v>49</v>
      </c>
      <c r="B22" s="8" t="s">
        <v>50</v>
      </c>
      <c r="C22" s="21">
        <v>0.6</v>
      </c>
      <c r="D22" s="21"/>
      <c r="E22" s="21"/>
      <c r="F22" s="219" t="s">
        <v>51</v>
      </c>
      <c r="G22" s="31"/>
      <c r="H22" s="31"/>
      <c r="I22" s="31"/>
      <c r="J22" s="31"/>
      <c r="K22" s="31"/>
      <c r="L22" s="31"/>
      <c r="M22" s="236" t="s">
        <v>52</v>
      </c>
      <c r="N22" s="31"/>
      <c r="O22" s="237"/>
      <c r="P22" s="31"/>
      <c r="Q22" s="31"/>
      <c r="R22" s="31"/>
      <c r="S22" s="31"/>
      <c r="T22" s="31"/>
      <c r="U22" s="31"/>
      <c r="V22" s="31"/>
      <c r="W22" s="31"/>
    </row>
    <row r="23" spans="1:23" hidden="1" x14ac:dyDescent="0.25">
      <c r="A23" s="5" t="s">
        <v>53</v>
      </c>
      <c r="B23" s="8" t="s">
        <v>54</v>
      </c>
      <c r="C23" s="26">
        <v>0.05</v>
      </c>
      <c r="D23" s="26"/>
      <c r="E23" s="26"/>
      <c r="F23" s="220" t="s">
        <v>55</v>
      </c>
      <c r="G23" s="31"/>
      <c r="H23" s="31"/>
      <c r="I23" s="31"/>
      <c r="J23" s="31"/>
      <c r="K23" s="31"/>
      <c r="L23" s="31"/>
      <c r="M23" s="236" t="s">
        <v>56</v>
      </c>
      <c r="N23" s="31"/>
      <c r="O23" s="237"/>
      <c r="P23" s="31"/>
      <c r="Q23" s="31"/>
      <c r="R23" s="31"/>
      <c r="S23" s="31"/>
      <c r="T23" s="31"/>
      <c r="U23" s="31"/>
      <c r="V23" s="31"/>
      <c r="W23" s="31"/>
    </row>
    <row r="24" spans="1:23" hidden="1" x14ac:dyDescent="0.25">
      <c r="A24" s="17" t="s">
        <v>57</v>
      </c>
      <c r="B24" s="20" t="s">
        <v>58</v>
      </c>
      <c r="C24" s="27">
        <v>0.5</v>
      </c>
      <c r="D24" s="250"/>
      <c r="E24" s="250"/>
      <c r="F24" s="221"/>
      <c r="G24" s="31"/>
      <c r="H24" s="31"/>
      <c r="I24" s="31"/>
      <c r="J24" s="31"/>
      <c r="K24" s="31"/>
      <c r="L24" s="31"/>
      <c r="M24" s="236"/>
      <c r="N24" s="31" t="s">
        <v>59</v>
      </c>
      <c r="O24" s="237"/>
      <c r="P24" s="31"/>
      <c r="Q24" s="31"/>
      <c r="R24" s="31"/>
      <c r="S24" s="31"/>
      <c r="T24" s="31"/>
      <c r="U24" s="31"/>
      <c r="V24" s="31"/>
      <c r="W24" s="31"/>
    </row>
    <row r="25" spans="1:23" hidden="1" x14ac:dyDescent="0.25">
      <c r="A25" s="4" t="s">
        <v>60</v>
      </c>
      <c r="B25" s="18" t="s">
        <v>61</v>
      </c>
      <c r="C25" s="28">
        <v>940</v>
      </c>
      <c r="D25" s="28"/>
      <c r="E25" s="28"/>
      <c r="F25" s="222" t="s">
        <v>62</v>
      </c>
      <c r="G25" s="31"/>
      <c r="H25" s="31"/>
      <c r="I25" s="31"/>
      <c r="J25" s="31"/>
      <c r="K25" s="31"/>
      <c r="L25" s="31"/>
      <c r="M25" s="236"/>
      <c r="N25" s="31" t="s">
        <v>63</v>
      </c>
      <c r="O25" s="237"/>
      <c r="P25" s="31"/>
      <c r="Q25" s="31"/>
      <c r="R25" s="31"/>
      <c r="S25" s="31"/>
      <c r="T25" s="31"/>
      <c r="U25" s="31"/>
      <c r="V25" s="31"/>
      <c r="W25" s="31"/>
    </row>
    <row r="26" spans="1:23" hidden="1" x14ac:dyDescent="0.25">
      <c r="A26" s="5" t="s">
        <v>64</v>
      </c>
      <c r="B26" s="8" t="s">
        <v>65</v>
      </c>
      <c r="C26" s="29">
        <v>1</v>
      </c>
      <c r="D26" s="29"/>
      <c r="E26" s="29"/>
      <c r="F26" s="223"/>
      <c r="G26" s="31"/>
      <c r="H26" s="31"/>
      <c r="I26" s="31"/>
      <c r="J26" s="31"/>
      <c r="K26" s="31"/>
      <c r="L26" s="31"/>
      <c r="M26" s="236"/>
      <c r="N26" s="31" t="s">
        <v>66</v>
      </c>
      <c r="O26" s="237"/>
      <c r="P26" s="31"/>
      <c r="Q26" s="31"/>
      <c r="R26" s="31"/>
      <c r="S26" s="31"/>
      <c r="T26" s="31"/>
      <c r="U26" s="31"/>
      <c r="V26" s="31"/>
      <c r="W26" s="31"/>
    </row>
    <row r="27" spans="1:23" hidden="1" x14ac:dyDescent="0.25">
      <c r="A27" s="5" t="s">
        <v>67</v>
      </c>
      <c r="B27" s="8" t="s">
        <v>68</v>
      </c>
      <c r="C27" s="29">
        <v>2.96</v>
      </c>
      <c r="D27" s="29"/>
      <c r="E27" s="29"/>
      <c r="F27" s="224"/>
      <c r="G27" s="31"/>
      <c r="H27" s="31"/>
      <c r="I27" s="31"/>
      <c r="J27" s="31"/>
      <c r="K27" s="31"/>
      <c r="L27" s="31"/>
      <c r="M27" s="236"/>
      <c r="N27" s="31" t="s">
        <v>69</v>
      </c>
      <c r="O27" s="237"/>
      <c r="P27" s="31"/>
      <c r="Q27" s="31"/>
      <c r="R27" s="31"/>
      <c r="S27" s="31"/>
      <c r="T27" s="31"/>
      <c r="U27" s="31"/>
      <c r="V27" s="31"/>
      <c r="W27" s="31"/>
    </row>
    <row r="28" spans="1:23" hidden="1" x14ac:dyDescent="0.25">
      <c r="A28" s="5" t="s">
        <v>70</v>
      </c>
      <c r="B28" s="8" t="s">
        <v>71</v>
      </c>
      <c r="C28" s="30">
        <v>1517</v>
      </c>
      <c r="D28" s="30"/>
      <c r="E28" s="30"/>
      <c r="F28" s="224"/>
      <c r="G28" s="31"/>
      <c r="H28" s="31"/>
      <c r="I28" s="31"/>
      <c r="J28" s="31"/>
      <c r="K28" s="31"/>
      <c r="L28" s="31"/>
      <c r="M28" s="238"/>
      <c r="N28" s="239"/>
      <c r="O28" s="240"/>
      <c r="P28" s="31"/>
      <c r="Q28" s="31"/>
      <c r="R28" s="31"/>
      <c r="S28" s="31"/>
      <c r="T28" s="31"/>
      <c r="U28" s="31"/>
      <c r="V28" s="31"/>
      <c r="W28" s="31"/>
    </row>
    <row r="29" spans="1:23" hidden="1" x14ac:dyDescent="0.25"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</row>
    <row r="30" spans="1:23" hidden="1" x14ac:dyDescent="0.25"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1:23" ht="15.75" hidden="1" x14ac:dyDescent="0.25">
      <c r="A31" s="13" t="s">
        <v>72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</row>
    <row r="32" spans="1:23" hidden="1" x14ac:dyDescent="0.25">
      <c r="A32" s="9" t="s">
        <v>73</v>
      </c>
      <c r="B32" t="str">
        <f>IF(Unit_Cooling_NTER&lt;MIN_NTER,"DNQ","YES")</f>
        <v>YES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</row>
    <row r="33" spans="1:23" ht="25.5" hidden="1" customHeight="1" x14ac:dyDescent="0.25">
      <c r="A33" s="9" t="s">
        <v>8</v>
      </c>
      <c r="B33" s="34" t="s">
        <v>74</v>
      </c>
      <c r="C33" s="35">
        <f>Unit_Cooling_NTER</f>
        <v>0.752</v>
      </c>
      <c r="D33" s="251"/>
      <c r="E33" s="251"/>
      <c r="F33" s="225"/>
      <c r="G33" s="226"/>
      <c r="H33" s="226"/>
      <c r="I33" s="226"/>
      <c r="J33" s="226"/>
      <c r="K33" s="226"/>
      <c r="L33" s="226"/>
      <c r="M33" s="226"/>
      <c r="N33" s="226"/>
      <c r="O33" s="241"/>
      <c r="P33" s="31"/>
      <c r="Q33" s="31"/>
      <c r="R33" s="31"/>
      <c r="S33" s="31"/>
      <c r="T33" s="31"/>
      <c r="U33" s="31"/>
      <c r="V33" s="31"/>
      <c r="W33" s="31"/>
    </row>
    <row r="34" spans="1:23" ht="30.75" hidden="1" customHeight="1" x14ac:dyDescent="0.25">
      <c r="A34" s="9" t="s">
        <v>75</v>
      </c>
      <c r="B34" s="10" t="s">
        <v>76</v>
      </c>
      <c r="C34" s="244" t="s">
        <v>77</v>
      </c>
      <c r="D34" s="252"/>
      <c r="E34" s="252"/>
      <c r="F34" s="245"/>
      <c r="G34" s="245"/>
      <c r="H34" s="245"/>
      <c r="I34" s="245"/>
      <c r="J34" s="245"/>
      <c r="K34" s="245"/>
      <c r="L34" s="245"/>
      <c r="M34" s="245"/>
      <c r="N34" s="245"/>
      <c r="O34" s="246"/>
      <c r="P34" s="31"/>
      <c r="Q34" s="31"/>
      <c r="R34" s="31"/>
      <c r="S34" s="31"/>
      <c r="T34" s="31"/>
      <c r="U34" s="31"/>
      <c r="V34" s="31"/>
      <c r="W34" s="31"/>
    </row>
    <row r="35" spans="1:23" hidden="1" x14ac:dyDescent="0.25">
      <c r="A35" s="12"/>
      <c r="B35" s="11" t="s">
        <v>76</v>
      </c>
      <c r="C35" s="16">
        <f>IF(B32="DNQ","DNQ",(Out_lbs_per_hr*Calc_NTER*(Out_Cool_Enthalpy-Exh_Cool_Enthalpy)/12000*Basis_kWperTon-Out_Air_Flow*(Unit_Pressure_Drop+Filter_PD)/(6356*Fan_Eff*Motor_Eff)*0.746*2-Aux_Power/1000)*BES*1000)</f>
        <v>2.6916930184966139</v>
      </c>
      <c r="D35" s="16"/>
      <c r="E35" s="16"/>
      <c r="F35" s="227"/>
      <c r="G35" s="228"/>
      <c r="H35" s="228"/>
      <c r="I35" s="228"/>
      <c r="J35" s="228"/>
      <c r="K35" s="228"/>
      <c r="L35" s="228"/>
      <c r="M35" s="228"/>
      <c r="N35" s="228"/>
      <c r="O35" s="242"/>
      <c r="P35" s="31"/>
      <c r="Q35" s="31"/>
      <c r="R35" s="31"/>
      <c r="S35" s="31"/>
      <c r="T35" s="31"/>
      <c r="U35" s="31"/>
      <c r="V35" s="31"/>
      <c r="W35" s="31"/>
    </row>
    <row r="36" spans="1:23" hidden="1" x14ac:dyDescent="0.25">
      <c r="A36" s="15" t="s">
        <v>78</v>
      </c>
      <c r="B36" s="11" t="s">
        <v>76</v>
      </c>
      <c r="C36" s="14">
        <f>IF(B32="DNQ","DNQ",C9*C35/1000)</f>
        <v>6.9984018480911967</v>
      </c>
      <c r="D36" s="253"/>
      <c r="E36" s="253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 spans="1:23" hidden="1" x14ac:dyDescent="0.25"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</row>
    <row r="38" spans="1:23" ht="22.5" x14ac:dyDescent="0.3">
      <c r="A38" s="198" t="s">
        <v>79</v>
      </c>
      <c r="B38" s="199" t="s">
        <v>1</v>
      </c>
      <c r="C38" s="200"/>
      <c r="D38" s="31"/>
      <c r="E38" s="261" t="s">
        <v>152</v>
      </c>
      <c r="F38" s="31"/>
      <c r="G38" s="229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23" x14ac:dyDescent="0.25">
      <c r="A39" s="243" t="s">
        <v>80</v>
      </c>
      <c r="C39" s="32">
        <f>IF(B32="DNQ","DNQ",ERV_SkW*$C$36)</f>
        <v>6.9984018480911967</v>
      </c>
      <c r="D39" s="254"/>
      <c r="E39" s="262">
        <f>+C39*C10</f>
        <v>34.992009240455985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</row>
    <row r="40" spans="1:23" x14ac:dyDescent="0.25">
      <c r="A40" s="243" t="s">
        <v>81</v>
      </c>
      <c r="C40" s="32">
        <f>IF(B32="DNQ","DNQ",ERV_WkW*$C$36)</f>
        <v>20.715269470349941</v>
      </c>
      <c r="D40" s="254"/>
      <c r="E40" s="263">
        <f>+C40*C10</f>
        <v>103.5763473517497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 spans="1:23" x14ac:dyDescent="0.25">
      <c r="A41" s="243" t="s">
        <v>82</v>
      </c>
      <c r="C41" s="32">
        <f>IF(B32="DNQ","DNQ",ERV_kWh*$C$36)</f>
        <v>10616.575603554345</v>
      </c>
      <c r="D41" s="254"/>
      <c r="E41" s="263">
        <f>+C41*C10</f>
        <v>53082.878017771727</v>
      </c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</row>
    <row r="42" spans="1:23" x14ac:dyDescent="0.25">
      <c r="A42" s="243" t="s">
        <v>83</v>
      </c>
      <c r="C42" s="33">
        <f>IF(B32="DNQ","DNQ",ERV_Inc*C36)</f>
        <v>6578.4977372057247</v>
      </c>
      <c r="D42" s="255"/>
      <c r="E42" s="264">
        <f>+C42*C10</f>
        <v>32892.488686028621</v>
      </c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1:23" ht="15.75" x14ac:dyDescent="0.25">
      <c r="A43" s="202" t="s">
        <v>84</v>
      </c>
      <c r="B43" s="201"/>
      <c r="C43" s="201"/>
      <c r="D43" s="31"/>
      <c r="E43" s="20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</row>
    <row r="44" spans="1:23" x14ac:dyDescent="0.25">
      <c r="A44" s="208" t="s">
        <v>1</v>
      </c>
      <c r="B44" s="211" t="s">
        <v>1</v>
      </c>
      <c r="C44" s="211" t="s">
        <v>1</v>
      </c>
      <c r="D44" s="211"/>
      <c r="E44" s="21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</row>
    <row r="45" spans="1:23" ht="15.75" x14ac:dyDescent="0.25">
      <c r="A45" s="212" t="s">
        <v>85</v>
      </c>
      <c r="B45" s="211" t="s">
        <v>1</v>
      </c>
      <c r="C45" s="211" t="s">
        <v>1</v>
      </c>
      <c r="D45" s="211"/>
      <c r="E45" s="21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</row>
    <row r="46" spans="1:23" x14ac:dyDescent="0.25">
      <c r="A46" s="213" t="s">
        <v>86</v>
      </c>
      <c r="B46" s="211" t="s">
        <v>1</v>
      </c>
      <c r="C46" s="214" t="s">
        <v>87</v>
      </c>
      <c r="D46" s="256"/>
      <c r="E46" s="256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23" x14ac:dyDescent="0.25">
      <c r="A47" s="213" t="s">
        <v>88</v>
      </c>
      <c r="B47" s="211" t="s">
        <v>1</v>
      </c>
      <c r="C47" s="214" t="s">
        <v>89</v>
      </c>
      <c r="D47" s="256"/>
      <c r="E47" s="256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  <row r="48" spans="1:23" ht="18" x14ac:dyDescent="0.25">
      <c r="A48" s="215" t="s">
        <v>1</v>
      </c>
      <c r="B48" s="211" t="s">
        <v>1</v>
      </c>
      <c r="C48" s="214" t="s">
        <v>90</v>
      </c>
      <c r="D48" s="256"/>
      <c r="E48" s="256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</row>
    <row r="49" spans="1:23" x14ac:dyDescent="0.25">
      <c r="A49" s="211" t="s">
        <v>1</v>
      </c>
      <c r="B49" s="211" t="s">
        <v>1</v>
      </c>
      <c r="C49" s="211" t="s">
        <v>1</v>
      </c>
      <c r="D49" s="211"/>
      <c r="E49" s="21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</row>
    <row r="50" spans="1:23" x14ac:dyDescent="0.25">
      <c r="A50" s="211" t="s">
        <v>1</v>
      </c>
      <c r="B50" s="211" t="s">
        <v>1</v>
      </c>
      <c r="C50" s="211" t="s">
        <v>1</v>
      </c>
      <c r="D50" s="211"/>
      <c r="E50" s="21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</row>
    <row r="51" spans="1:23" x14ac:dyDescent="0.25">
      <c r="A51" s="211" t="s">
        <v>1</v>
      </c>
      <c r="B51" s="211" t="s">
        <v>1</v>
      </c>
      <c r="C51" s="211" t="s">
        <v>1</v>
      </c>
      <c r="D51" s="211"/>
      <c r="E51" s="21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</row>
    <row r="52" spans="1:23" x14ac:dyDescent="0.25">
      <c r="A52" s="211" t="s">
        <v>1</v>
      </c>
      <c r="B52" s="211" t="s">
        <v>1</v>
      </c>
      <c r="C52" s="211" t="s">
        <v>1</v>
      </c>
      <c r="D52" s="211"/>
      <c r="E52" s="21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</row>
    <row r="53" spans="1:23" x14ac:dyDescent="0.25">
      <c r="A53" s="211" t="s">
        <v>1</v>
      </c>
      <c r="B53" s="211" t="s">
        <v>1</v>
      </c>
      <c r="C53" s="211" t="s">
        <v>1</v>
      </c>
      <c r="D53" s="211"/>
      <c r="E53" s="21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</row>
    <row r="54" spans="1:23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</row>
    <row r="55" spans="1:23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</row>
    <row r="56" spans="1:23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</row>
    <row r="57" spans="1:23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</row>
    <row r="58" spans="1:23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</row>
    <row r="59" spans="1:23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</row>
    <row r="60" spans="1:23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</row>
    <row r="61" spans="1:23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</row>
    <row r="62" spans="1:23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</row>
    <row r="63" spans="1:23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</row>
    <row r="64" spans="1:23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</row>
    <row r="65" spans="1:23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</row>
    <row r="66" spans="1:23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</row>
    <row r="67" spans="1:23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</row>
    <row r="68" spans="1:23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</row>
    <row r="69" spans="1:23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</row>
    <row r="70" spans="1:23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</row>
    <row r="71" spans="1:23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</row>
    <row r="72" spans="1:23" x14ac:dyDescent="0.2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</row>
    <row r="73" spans="1:23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</row>
    <row r="74" spans="1:23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</row>
    <row r="75" spans="1:23" x14ac:dyDescent="0.2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</row>
    <row r="76" spans="1:23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</row>
    <row r="77" spans="1:23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</row>
    <row r="78" spans="1:23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</row>
    <row r="79" spans="1:23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</row>
    <row r="80" spans="1:23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</row>
    <row r="81" spans="1:22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</row>
    <row r="82" spans="1:22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</row>
    <row r="83" spans="1:22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</row>
    <row r="84" spans="1:22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</row>
    <row r="85" spans="1:22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</row>
    <row r="86" spans="1:22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</row>
    <row r="87" spans="1:22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</row>
    <row r="88" spans="1:22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</row>
    <row r="89" spans="1:22" x14ac:dyDescent="0.2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</row>
    <row r="90" spans="1:22" x14ac:dyDescent="0.2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</row>
    <row r="91" spans="1:22" x14ac:dyDescent="0.2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</row>
  </sheetData>
  <sheetProtection algorithmName="SHA-512" hashValue="bEUAJyHXKvGcIxdl4ukWc9pIH+GnKdcYIxoNLo3FhivU45YFxIG1DdkK+MLUhjoMNiv70ffi5Mv6/07t0xHp/A==" saltValue="HrAICdQidu0SjSDHi70o0w==" spinCount="100000" sheet="1" objects="1" scenarios="1"/>
  <mergeCells count="1">
    <mergeCell ref="C34:O34"/>
  </mergeCells>
  <hyperlinks>
    <hyperlink ref="C46" r:id="rId1" xr:uid="{E1DDAF3C-AB03-480B-BD6F-3901E4206232}"/>
    <hyperlink ref="C47" r:id="rId2" xr:uid="{F6FE5FAF-43D2-4EA5-ACAD-34EB173C3467}"/>
    <hyperlink ref="C48" r:id="rId3" xr:uid="{E2C01954-5178-43B8-8F30-1300DC5530AA}"/>
  </hyperlinks>
  <pageMargins left="0.45" right="0.45" top="0.5" bottom="0.5" header="0.3" footer="0.3"/>
  <pageSetup scale="57" orientation="landscape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ABC2C-3660-40E9-8125-371FE983DDC8}">
  <sheetPr>
    <tabColor rgb="FF00B0F0"/>
    <pageSetUpPr fitToPage="1"/>
  </sheetPr>
  <dimension ref="A1:U100"/>
  <sheetViews>
    <sheetView showGridLines="0" zoomScale="50" zoomScaleNormal="50" workbookViewId="0">
      <selection activeCell="AD28" sqref="AD28"/>
    </sheetView>
  </sheetViews>
  <sheetFormatPr defaultColWidth="9.140625" defaultRowHeight="12.75" outlineLevelRow="1" outlineLevelCol="1" x14ac:dyDescent="0.2"/>
  <cols>
    <col min="1" max="1" width="2.140625" style="38" customWidth="1"/>
    <col min="2" max="2" width="1.5703125" style="38" customWidth="1"/>
    <col min="3" max="3" width="20.7109375" style="38" customWidth="1"/>
    <col min="4" max="4" width="35.140625" style="38" customWidth="1"/>
    <col min="5" max="5" width="23.7109375" style="38" customWidth="1" outlineLevel="1"/>
    <col min="6" max="6" width="20.140625" style="38" customWidth="1"/>
    <col min="7" max="7" width="22" style="38" customWidth="1" outlineLevel="1"/>
    <col min="8" max="8" width="20.5703125" style="38" customWidth="1"/>
    <col min="9" max="9" width="20.28515625" style="38" customWidth="1" outlineLevel="1"/>
    <col min="10" max="10" width="21.42578125" style="38" customWidth="1"/>
    <col min="11" max="11" width="21" style="38" customWidth="1" outlineLevel="1"/>
    <col min="12" max="12" width="21.42578125" style="38" customWidth="1"/>
    <col min="13" max="13" width="17.42578125" style="38" customWidth="1" outlineLevel="1"/>
    <col min="14" max="14" width="20.28515625" style="38" customWidth="1"/>
    <col min="15" max="15" width="19.140625" style="38" customWidth="1" outlineLevel="1"/>
    <col min="16" max="16" width="20.7109375" style="38" customWidth="1"/>
    <col min="17" max="17" width="21.42578125" style="38" customWidth="1" outlineLevel="1"/>
    <col min="18" max="18" width="12.28515625" style="38" customWidth="1"/>
    <col min="19" max="19" width="6.140625" style="38" customWidth="1"/>
    <col min="20" max="20" width="11" style="38" customWidth="1"/>
    <col min="21" max="21" width="9.140625" style="38" customWidth="1"/>
    <col min="22" max="22" width="17.28515625" style="38" customWidth="1"/>
    <col min="23" max="36" width="9.140625" style="38" customWidth="1"/>
    <col min="37" max="37" width="14.42578125" style="38" customWidth="1"/>
    <col min="38" max="16384" width="9.140625" style="38"/>
  </cols>
  <sheetData>
    <row r="1" spans="1:21" ht="21.75" customHeight="1" outlineLevel="1" x14ac:dyDescent="0.2">
      <c r="A1" s="36"/>
      <c r="B1" s="36"/>
      <c r="C1" s="37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1" ht="14.25" customHeight="1" outlineLevel="1" x14ac:dyDescent="0.2">
      <c r="A2" s="36"/>
      <c r="B2" s="36"/>
      <c r="C2" s="39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21" s="48" customFormat="1" ht="15.75" customHeight="1" thickBot="1" x14ac:dyDescent="0.3">
      <c r="A3" s="36"/>
      <c r="B3" s="40"/>
      <c r="C3" s="41"/>
      <c r="D3" s="42"/>
      <c r="E3" s="43"/>
      <c r="F3" s="43"/>
      <c r="G3" s="44"/>
      <c r="H3" s="44"/>
      <c r="I3" s="45"/>
      <c r="J3" s="45"/>
      <c r="K3" s="46"/>
      <c r="L3" s="46"/>
      <c r="M3" s="43"/>
      <c r="N3" s="43"/>
      <c r="O3" s="46"/>
      <c r="P3" s="46"/>
      <c r="Q3" s="47"/>
      <c r="R3" s="41"/>
      <c r="S3" s="36"/>
      <c r="T3" s="38"/>
      <c r="U3" s="38"/>
    </row>
    <row r="4" spans="1:21" s="48" customFormat="1" ht="18.75" customHeight="1" x14ac:dyDescent="0.25">
      <c r="A4" s="36"/>
      <c r="B4" s="40"/>
      <c r="C4" s="247" t="s">
        <v>91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9"/>
      <c r="Q4" s="49"/>
      <c r="R4" s="50"/>
      <c r="S4" s="36"/>
      <c r="T4" s="38"/>
      <c r="U4" s="38"/>
    </row>
    <row r="5" spans="1:21" s="48" customFormat="1" ht="21" customHeight="1" x14ac:dyDescent="0.25">
      <c r="A5" s="36"/>
      <c r="B5" s="40"/>
      <c r="C5" s="51" t="s">
        <v>92</v>
      </c>
      <c r="D5" s="45"/>
      <c r="E5" s="52" t="s">
        <v>93</v>
      </c>
      <c r="F5" s="46"/>
      <c r="G5" s="46"/>
      <c r="H5" s="41"/>
      <c r="I5" s="41"/>
      <c r="J5" s="45"/>
      <c r="K5" s="46"/>
      <c r="L5" s="46"/>
      <c r="M5" s="46"/>
      <c r="N5" s="46"/>
      <c r="O5" s="46"/>
      <c r="P5" s="53"/>
      <c r="Q5" s="49"/>
      <c r="R5" s="50"/>
      <c r="S5" s="36"/>
      <c r="T5" s="38"/>
      <c r="U5" s="38"/>
    </row>
    <row r="6" spans="1:21" s="48" customFormat="1" ht="21" customHeight="1" x14ac:dyDescent="0.25">
      <c r="A6" s="36"/>
      <c r="B6" s="40"/>
      <c r="C6" s="54" t="s">
        <v>94</v>
      </c>
      <c r="D6" s="45"/>
      <c r="E6" s="46"/>
      <c r="F6" s="46"/>
      <c r="G6" s="46"/>
      <c r="H6" s="44"/>
      <c r="I6" s="45"/>
      <c r="J6" s="45"/>
      <c r="K6" s="46"/>
      <c r="L6" s="46"/>
      <c r="M6" s="46"/>
      <c r="N6" s="46"/>
      <c r="O6" s="46"/>
      <c r="P6" s="53"/>
      <c r="Q6" s="49"/>
      <c r="R6" s="50"/>
      <c r="S6" s="36"/>
      <c r="T6" s="38"/>
      <c r="U6" s="38"/>
    </row>
    <row r="7" spans="1:21" s="48" customFormat="1" ht="18" customHeight="1" thickBot="1" x14ac:dyDescent="0.3">
      <c r="A7" s="36"/>
      <c r="B7" s="40"/>
      <c r="C7" s="55" t="s">
        <v>95</v>
      </c>
      <c r="D7" s="41"/>
      <c r="E7" s="41"/>
      <c r="F7" s="44"/>
      <c r="G7" s="56"/>
      <c r="H7" s="45"/>
      <c r="I7" s="41"/>
      <c r="J7" s="46"/>
      <c r="K7" s="46"/>
      <c r="L7" s="46"/>
      <c r="M7" s="46"/>
      <c r="N7" s="46"/>
      <c r="O7" s="46"/>
      <c r="P7" s="53"/>
      <c r="Q7" s="57"/>
      <c r="R7" s="50"/>
      <c r="S7" s="36"/>
      <c r="T7" s="38"/>
      <c r="U7" s="38"/>
    </row>
    <row r="8" spans="1:21" s="48" customFormat="1" ht="18.75" hidden="1" customHeight="1" outlineLevel="1" x14ac:dyDescent="0.25">
      <c r="A8" s="36"/>
      <c r="B8" s="40"/>
      <c r="C8" s="58"/>
      <c r="D8" s="59">
        <v>0.52500000000000002</v>
      </c>
      <c r="E8" s="60"/>
      <c r="F8" s="59">
        <v>0.57499999999999996</v>
      </c>
      <c r="G8" s="61"/>
      <c r="H8" s="59">
        <v>0.625</v>
      </c>
      <c r="I8" s="61"/>
      <c r="J8" s="59">
        <v>0.67500000000000004</v>
      </c>
      <c r="K8" s="61"/>
      <c r="L8" s="59">
        <v>0.72499999999999998</v>
      </c>
      <c r="M8" s="61"/>
      <c r="N8" s="59">
        <v>0.77500000000000002</v>
      </c>
      <c r="O8" s="61"/>
      <c r="P8" s="62">
        <v>0.82499999999999996</v>
      </c>
      <c r="Q8" s="63"/>
      <c r="R8" s="64"/>
      <c r="S8" s="65"/>
      <c r="T8" s="66"/>
      <c r="U8" s="38"/>
    </row>
    <row r="9" spans="1:21" s="77" customFormat="1" ht="37.5" customHeight="1" collapsed="1" x14ac:dyDescent="0.25">
      <c r="A9" s="67"/>
      <c r="B9" s="68"/>
      <c r="C9" s="69"/>
      <c r="D9" s="70" t="s">
        <v>96</v>
      </c>
      <c r="E9" s="71" t="s">
        <v>97</v>
      </c>
      <c r="F9" s="70" t="s">
        <v>98</v>
      </c>
      <c r="G9" s="71" t="s">
        <v>97</v>
      </c>
      <c r="H9" s="70" t="s">
        <v>99</v>
      </c>
      <c r="I9" s="71" t="s">
        <v>97</v>
      </c>
      <c r="J9" s="70" t="s">
        <v>100</v>
      </c>
      <c r="K9" s="71" t="s">
        <v>97</v>
      </c>
      <c r="L9" s="70" t="s">
        <v>101</v>
      </c>
      <c r="M9" s="71" t="s">
        <v>97</v>
      </c>
      <c r="N9" s="70" t="s">
        <v>102</v>
      </c>
      <c r="O9" s="71" t="s">
        <v>97</v>
      </c>
      <c r="P9" s="72" t="s">
        <v>103</v>
      </c>
      <c r="Q9" s="73" t="s">
        <v>97</v>
      </c>
      <c r="R9" s="74"/>
      <c r="S9" s="75"/>
      <c r="T9" s="66"/>
      <c r="U9" s="76"/>
    </row>
    <row r="10" spans="1:21" s="48" customFormat="1" ht="21" customHeight="1" thickBot="1" x14ac:dyDescent="0.3">
      <c r="A10" s="36"/>
      <c r="B10" s="40"/>
      <c r="C10" s="78" t="s">
        <v>104</v>
      </c>
      <c r="D10" s="79" t="s">
        <v>105</v>
      </c>
      <c r="E10" s="79" t="s">
        <v>106</v>
      </c>
      <c r="F10" s="79" t="s">
        <v>105</v>
      </c>
      <c r="G10" s="79" t="s">
        <v>106</v>
      </c>
      <c r="H10" s="79" t="s">
        <v>105</v>
      </c>
      <c r="I10" s="79" t="s">
        <v>106</v>
      </c>
      <c r="J10" s="79" t="s">
        <v>105</v>
      </c>
      <c r="K10" s="79" t="s">
        <v>106</v>
      </c>
      <c r="L10" s="79" t="s">
        <v>105</v>
      </c>
      <c r="M10" s="79" t="s">
        <v>106</v>
      </c>
      <c r="N10" s="79" t="s">
        <v>105</v>
      </c>
      <c r="O10" s="79" t="s">
        <v>106</v>
      </c>
      <c r="P10" s="80" t="s">
        <v>105</v>
      </c>
      <c r="Q10" s="81" t="s">
        <v>106</v>
      </c>
      <c r="R10" s="82"/>
      <c r="S10" s="83"/>
      <c r="T10" s="84"/>
      <c r="U10" s="38"/>
    </row>
    <row r="11" spans="1:21" s="48" customFormat="1" ht="15.75" customHeight="1" thickBot="1" x14ac:dyDescent="0.3">
      <c r="A11" s="36"/>
      <c r="B11" s="40"/>
      <c r="C11" s="85">
        <v>0.1</v>
      </c>
      <c r="D11" s="86">
        <f>ROUND(E11*$E$48/1000,2)</f>
        <v>2.08</v>
      </c>
      <c r="E11" s="87">
        <f>($G$49*D$8*($E$51-$E$52)/12000*$G$50-$E$49*($C11+$I$53)/(6356*$E$53*$E$54)*0.746*2-$I$54/1000)*$G$48*1000</f>
        <v>2.2146289863915269</v>
      </c>
      <c r="F11" s="88">
        <f>ROUND(G11*$E$48/1000,2)</f>
        <v>2.31</v>
      </c>
      <c r="G11" s="87">
        <f t="shared" ref="G11:G30" si="0">($G$49*F$8*($E$51-$E$52)/12000*$G$50-$E$49*($C11+$I$53)/(6356*$E$53*$E$54)*0.746*2-$I$54/1000)*$G$48*1000</f>
        <v>2.4608133084254247</v>
      </c>
      <c r="H11" s="86">
        <f>ROUND(I11*$E$48/1000,2)</f>
        <v>2.54</v>
      </c>
      <c r="I11" s="87">
        <f t="shared" ref="I11:I30" si="1">($G$49*H$8*($E$51-$E$52)/12000*$G$50-$E$49*($C11+$I$53)/(6356*$E$53*$E$54)*0.746*2-$I$54/1000)*$G$48*1000</f>
        <v>2.7069976304593233</v>
      </c>
      <c r="J11" s="86">
        <f>ROUND(K11*$E$48/1000,2)</f>
        <v>2.78</v>
      </c>
      <c r="K11" s="87">
        <f t="shared" ref="K11:K30" si="2">($G$49*J$8*($E$51-$E$52)/12000*$G$50-$E$49*($C11+$I$53)/(6356*$E$53*$E$54)*0.746*2-$I$54/1000)*$G$48*1000</f>
        <v>2.9531819524932219</v>
      </c>
      <c r="L11" s="86">
        <f>ROUND(M11*$E$48/1000,2)</f>
        <v>3.01</v>
      </c>
      <c r="M11" s="87">
        <f t="shared" ref="M11:M30" si="3">($G$49*L$8*($E$51-$E$52)/12000*$G$50-$E$49*($C11+$I$53)/(6356*$E$53*$E$54)*0.746*2-$I$54/1000)*$G$48*1000</f>
        <v>3.1993662745271196</v>
      </c>
      <c r="N11" s="86">
        <f>ROUND(O11*$E$48/1000,2)</f>
        <v>3.24</v>
      </c>
      <c r="O11" s="87">
        <f t="shared" ref="O11:O30" si="4">($G$49*N$8*($E$51-$E$52)/12000*$G$50-$E$49*($C11+$I$53)/(6356*$E$53*$E$54)*0.746*2-$I$54/1000)*$G$48*1000</f>
        <v>3.4455505965610183</v>
      </c>
      <c r="P11" s="89">
        <f t="shared" ref="P11:P28" si="5">ROUND(Q11*$E$48/1000,2)</f>
        <v>3.47</v>
      </c>
      <c r="Q11" s="87">
        <f>($G$49*P$8*($E$51-$E$52)/12000*$G$50-$E$49*($C11+$I$53)/(6356*$E$53*$E$54)*0.746*2-$I$54/1000)*$G$48*1000</f>
        <v>3.6917349185949164</v>
      </c>
      <c r="R11" s="90"/>
      <c r="S11" s="91"/>
      <c r="T11" s="92"/>
      <c r="U11" s="38"/>
    </row>
    <row r="12" spans="1:21" s="48" customFormat="1" ht="15.75" customHeight="1" x14ac:dyDescent="0.25">
      <c r="A12" s="36"/>
      <c r="B12" s="40"/>
      <c r="C12" s="93">
        <v>0.2</v>
      </c>
      <c r="D12" s="94">
        <f>ROUND(E12*$E$48/1000,2)</f>
        <v>2.04</v>
      </c>
      <c r="E12" s="87">
        <f t="shared" ref="E12:E30" si="6">($G$49*D$8*($E$51-$E$52)/12000*$G$50-$E$49*($C12+$I$53)/(6356*$E$53*$E$54)*0.746*2-$I$54/1000)*$G$48*1000</f>
        <v>2.1688709299680404</v>
      </c>
      <c r="F12" s="95">
        <f>ROUND(G12*$E$48/1000,2)</f>
        <v>2.27</v>
      </c>
      <c r="G12" s="87">
        <f t="shared" si="0"/>
        <v>2.4150552520019382</v>
      </c>
      <c r="H12" s="94">
        <f>ROUND(I12*$E$48/1000,2)</f>
        <v>2.5</v>
      </c>
      <c r="I12" s="87">
        <f t="shared" si="1"/>
        <v>2.6612395740358368</v>
      </c>
      <c r="J12" s="94">
        <f>ROUND(K12*$E$48/1000,2)</f>
        <v>2.73</v>
      </c>
      <c r="K12" s="87">
        <f t="shared" si="2"/>
        <v>2.9074238960697354</v>
      </c>
      <c r="L12" s="94">
        <f>ROUND(M12*$E$48/1000,2)</f>
        <v>2.96</v>
      </c>
      <c r="M12" s="87">
        <f t="shared" si="3"/>
        <v>3.1536082181036331</v>
      </c>
      <c r="N12" s="94">
        <f>ROUND(O12*$E$48/1000,2)</f>
        <v>3.2</v>
      </c>
      <c r="O12" s="87">
        <f t="shared" si="4"/>
        <v>3.3997925401375317</v>
      </c>
      <c r="P12" s="96">
        <f t="shared" si="5"/>
        <v>3.43</v>
      </c>
      <c r="Q12" s="87">
        <f t="shared" ref="Q12:Q30" si="7">($G$49*P$8*($E$51-$E$52)/12000*$G$50-$E$49*($C12+$I$53)/(6356*$E$53*$E$54)*0.746*2-$I$54/1000)*$G$48*1000</f>
        <v>3.6459768621714304</v>
      </c>
      <c r="R12" s="90"/>
      <c r="S12" s="91"/>
      <c r="T12" s="92"/>
      <c r="U12" s="38"/>
    </row>
    <row r="13" spans="1:21" s="48" customFormat="1" ht="15.75" customHeight="1" x14ac:dyDescent="0.25">
      <c r="A13" s="36"/>
      <c r="B13" s="40"/>
      <c r="C13" s="93">
        <v>0.3</v>
      </c>
      <c r="D13" s="97">
        <f t="shared" ref="D13:D30" si="8">ROUND(E13*$E$48/1000,2)</f>
        <v>2</v>
      </c>
      <c r="E13" s="87">
        <f t="shared" si="6"/>
        <v>2.1231128735445539</v>
      </c>
      <c r="F13" s="98">
        <f t="shared" ref="F13:F30" si="9">ROUND(G13*$E$48/1000,2)</f>
        <v>2.23</v>
      </c>
      <c r="G13" s="87">
        <f t="shared" si="0"/>
        <v>2.3692971955784516</v>
      </c>
      <c r="H13" s="97">
        <f t="shared" ref="H13:H30" si="10">ROUND(I13*$E$48/1000,2)</f>
        <v>2.46</v>
      </c>
      <c r="I13" s="87">
        <f t="shared" si="1"/>
        <v>2.6154815176123503</v>
      </c>
      <c r="J13" s="97">
        <f t="shared" ref="J13:L28" si="11">ROUND(K13*$E$48/1000,2)</f>
        <v>2.69</v>
      </c>
      <c r="K13" s="87">
        <f t="shared" si="2"/>
        <v>2.8616658396462489</v>
      </c>
      <c r="L13" s="97">
        <f t="shared" si="11"/>
        <v>2.92</v>
      </c>
      <c r="M13" s="87">
        <f t="shared" si="3"/>
        <v>3.1078501616801466</v>
      </c>
      <c r="N13" s="97">
        <f t="shared" ref="N13:N30" si="12">ROUND(O13*$E$48/1000,2)</f>
        <v>3.15</v>
      </c>
      <c r="O13" s="87">
        <f t="shared" si="4"/>
        <v>3.3540344837140457</v>
      </c>
      <c r="P13" s="99">
        <f t="shared" si="5"/>
        <v>3.38</v>
      </c>
      <c r="Q13" s="87">
        <f t="shared" si="7"/>
        <v>3.6002188057479438</v>
      </c>
      <c r="R13" s="90"/>
      <c r="S13" s="91"/>
      <c r="T13" s="92"/>
      <c r="U13" s="38"/>
    </row>
    <row r="14" spans="1:21" s="48" customFormat="1" ht="15.75" customHeight="1" x14ac:dyDescent="0.25">
      <c r="A14" s="36"/>
      <c r="B14" s="40"/>
      <c r="C14" s="93">
        <v>0.4</v>
      </c>
      <c r="D14" s="94">
        <f t="shared" si="8"/>
        <v>1.95</v>
      </c>
      <c r="E14" s="87">
        <f t="shared" si="6"/>
        <v>2.0773548171210674</v>
      </c>
      <c r="F14" s="95">
        <f t="shared" si="9"/>
        <v>2.1800000000000002</v>
      </c>
      <c r="G14" s="87">
        <f t="shared" si="0"/>
        <v>2.3235391391549651</v>
      </c>
      <c r="H14" s="94">
        <f t="shared" si="10"/>
        <v>2.42</v>
      </c>
      <c r="I14" s="87">
        <f t="shared" si="1"/>
        <v>2.5697234611888637</v>
      </c>
      <c r="J14" s="94">
        <f t="shared" si="11"/>
        <v>2.65</v>
      </c>
      <c r="K14" s="87">
        <f t="shared" si="2"/>
        <v>2.8159077832227624</v>
      </c>
      <c r="L14" s="94">
        <f t="shared" si="11"/>
        <v>2.88</v>
      </c>
      <c r="M14" s="87">
        <f t="shared" si="3"/>
        <v>3.0620921052566605</v>
      </c>
      <c r="N14" s="94">
        <f t="shared" si="12"/>
        <v>3.11</v>
      </c>
      <c r="O14" s="87">
        <f t="shared" si="4"/>
        <v>3.3082764272905592</v>
      </c>
      <c r="P14" s="96">
        <f t="shared" si="5"/>
        <v>3.34</v>
      </c>
      <c r="Q14" s="87">
        <f t="shared" si="7"/>
        <v>3.5544607493244569</v>
      </c>
      <c r="R14" s="90"/>
      <c r="S14" s="91"/>
      <c r="T14" s="92"/>
      <c r="U14" s="38"/>
    </row>
    <row r="15" spans="1:21" s="48" customFormat="1" ht="15.75" customHeight="1" x14ac:dyDescent="0.25">
      <c r="A15" s="36"/>
      <c r="B15" s="40"/>
      <c r="C15" s="93">
        <v>0.5</v>
      </c>
      <c r="D15" s="97">
        <f t="shared" si="8"/>
        <v>1.91</v>
      </c>
      <c r="E15" s="87">
        <f t="shared" si="6"/>
        <v>2.0315967606975804</v>
      </c>
      <c r="F15" s="98">
        <f t="shared" si="9"/>
        <v>2.14</v>
      </c>
      <c r="G15" s="87">
        <f t="shared" si="0"/>
        <v>2.2777810827314782</v>
      </c>
      <c r="H15" s="97">
        <f t="shared" si="10"/>
        <v>2.37</v>
      </c>
      <c r="I15" s="87">
        <f t="shared" si="1"/>
        <v>2.5239654047653772</v>
      </c>
      <c r="J15" s="97">
        <f t="shared" si="11"/>
        <v>2.6</v>
      </c>
      <c r="K15" s="87">
        <f t="shared" si="2"/>
        <v>2.7701497267992758</v>
      </c>
      <c r="L15" s="97">
        <f t="shared" si="11"/>
        <v>2.84</v>
      </c>
      <c r="M15" s="87">
        <f t="shared" si="3"/>
        <v>3.0163340488331736</v>
      </c>
      <c r="N15" s="97">
        <f t="shared" si="12"/>
        <v>3.07</v>
      </c>
      <c r="O15" s="87">
        <f t="shared" si="4"/>
        <v>3.2625183708670722</v>
      </c>
      <c r="P15" s="99">
        <f t="shared" si="5"/>
        <v>3.3</v>
      </c>
      <c r="Q15" s="87">
        <f t="shared" si="7"/>
        <v>3.5087026929009704</v>
      </c>
      <c r="R15" s="90"/>
      <c r="S15" s="91"/>
      <c r="T15" s="92"/>
      <c r="U15" s="38"/>
    </row>
    <row r="16" spans="1:21" s="48" customFormat="1" ht="15.75" customHeight="1" x14ac:dyDescent="0.25">
      <c r="A16" s="36"/>
      <c r="B16" s="40"/>
      <c r="C16" s="93">
        <v>0.6</v>
      </c>
      <c r="D16" s="94">
        <f t="shared" si="8"/>
        <v>1.87</v>
      </c>
      <c r="E16" s="87">
        <f t="shared" si="6"/>
        <v>1.9858387042740941</v>
      </c>
      <c r="F16" s="95">
        <f t="shared" si="9"/>
        <v>2.1</v>
      </c>
      <c r="G16" s="87">
        <f t="shared" si="0"/>
        <v>2.2320230263079921</v>
      </c>
      <c r="H16" s="94">
        <f t="shared" si="10"/>
        <v>2.33</v>
      </c>
      <c r="I16" s="87">
        <f t="shared" si="1"/>
        <v>2.4782073483418907</v>
      </c>
      <c r="J16" s="94">
        <f t="shared" si="11"/>
        <v>2.56</v>
      </c>
      <c r="K16" s="87">
        <f t="shared" si="2"/>
        <v>2.7243916703757893</v>
      </c>
      <c r="L16" s="94">
        <f t="shared" si="11"/>
        <v>2.79</v>
      </c>
      <c r="M16" s="87">
        <f t="shared" si="3"/>
        <v>2.9705759924096871</v>
      </c>
      <c r="N16" s="94">
        <f t="shared" si="12"/>
        <v>3.02</v>
      </c>
      <c r="O16" s="87">
        <f t="shared" si="4"/>
        <v>3.2167603144435857</v>
      </c>
      <c r="P16" s="96">
        <f t="shared" si="5"/>
        <v>3.26</v>
      </c>
      <c r="Q16" s="87">
        <f t="shared" si="7"/>
        <v>3.4629446364774839</v>
      </c>
      <c r="R16" s="90"/>
      <c r="S16" s="91"/>
      <c r="T16" s="92"/>
      <c r="U16" s="38"/>
    </row>
    <row r="17" spans="1:21" s="48" customFormat="1" ht="15.75" customHeight="1" x14ac:dyDescent="0.25">
      <c r="A17" s="36"/>
      <c r="B17" s="40"/>
      <c r="C17" s="93">
        <v>0.7</v>
      </c>
      <c r="D17" s="97">
        <f t="shared" si="8"/>
        <v>1.82</v>
      </c>
      <c r="E17" s="87">
        <f t="shared" si="6"/>
        <v>1.9400806478506079</v>
      </c>
      <c r="F17" s="98">
        <f t="shared" si="9"/>
        <v>2.06</v>
      </c>
      <c r="G17" s="87">
        <f t="shared" si="0"/>
        <v>2.1862649698845056</v>
      </c>
      <c r="H17" s="97">
        <f t="shared" si="10"/>
        <v>2.29</v>
      </c>
      <c r="I17" s="87">
        <f t="shared" si="1"/>
        <v>2.4324492919184042</v>
      </c>
      <c r="J17" s="97">
        <f t="shared" si="11"/>
        <v>2.52</v>
      </c>
      <c r="K17" s="87">
        <f t="shared" si="2"/>
        <v>2.6786336139523028</v>
      </c>
      <c r="L17" s="97">
        <f t="shared" si="11"/>
        <v>2.75</v>
      </c>
      <c r="M17" s="87">
        <f t="shared" si="3"/>
        <v>2.9248179359862005</v>
      </c>
      <c r="N17" s="97">
        <f t="shared" si="12"/>
        <v>2.98</v>
      </c>
      <c r="O17" s="87">
        <f t="shared" si="4"/>
        <v>3.1710022580200992</v>
      </c>
      <c r="P17" s="99">
        <f t="shared" si="5"/>
        <v>3.21</v>
      </c>
      <c r="Q17" s="87">
        <f t="shared" si="7"/>
        <v>3.4171865800539973</v>
      </c>
      <c r="R17" s="90"/>
      <c r="S17" s="91"/>
      <c r="T17" s="92"/>
      <c r="U17" s="38"/>
    </row>
    <row r="18" spans="1:21" s="48" customFormat="1" ht="15.75" customHeight="1" x14ac:dyDescent="0.25">
      <c r="A18" s="36"/>
      <c r="B18" s="40"/>
      <c r="C18" s="93">
        <v>0.8</v>
      </c>
      <c r="D18" s="94">
        <f t="shared" si="8"/>
        <v>1.78</v>
      </c>
      <c r="E18" s="87">
        <f t="shared" si="6"/>
        <v>1.8943225914271213</v>
      </c>
      <c r="F18" s="95">
        <f t="shared" si="9"/>
        <v>2.0099999999999998</v>
      </c>
      <c r="G18" s="87">
        <f t="shared" si="0"/>
        <v>2.1405069134610191</v>
      </c>
      <c r="H18" s="94">
        <f t="shared" si="10"/>
        <v>2.2400000000000002</v>
      </c>
      <c r="I18" s="87">
        <f t="shared" si="1"/>
        <v>2.3866912354949177</v>
      </c>
      <c r="J18" s="94">
        <f t="shared" si="11"/>
        <v>2.4700000000000002</v>
      </c>
      <c r="K18" s="87">
        <f t="shared" si="2"/>
        <v>2.6328755575288163</v>
      </c>
      <c r="L18" s="94">
        <f t="shared" si="11"/>
        <v>2.71</v>
      </c>
      <c r="M18" s="87">
        <f t="shared" si="3"/>
        <v>2.879059879562714</v>
      </c>
      <c r="N18" s="94">
        <f t="shared" si="12"/>
        <v>2.94</v>
      </c>
      <c r="O18" s="87">
        <f t="shared" si="4"/>
        <v>3.1252442015966126</v>
      </c>
      <c r="P18" s="96">
        <f t="shared" si="5"/>
        <v>3.17</v>
      </c>
      <c r="Q18" s="87">
        <f t="shared" si="7"/>
        <v>3.3714285236305108</v>
      </c>
      <c r="R18" s="90"/>
      <c r="S18" s="91"/>
      <c r="T18" s="92"/>
      <c r="U18" s="38"/>
    </row>
    <row r="19" spans="1:21" s="48" customFormat="1" ht="15.75" customHeight="1" x14ac:dyDescent="0.25">
      <c r="A19" s="36"/>
      <c r="B19" s="40"/>
      <c r="C19" s="93">
        <v>0.9</v>
      </c>
      <c r="D19" s="97">
        <f t="shared" si="8"/>
        <v>1.74</v>
      </c>
      <c r="E19" s="87">
        <f t="shared" si="6"/>
        <v>1.8485645350036348</v>
      </c>
      <c r="F19" s="98">
        <f t="shared" si="9"/>
        <v>1.97</v>
      </c>
      <c r="G19" s="87">
        <f t="shared" si="0"/>
        <v>2.0947488570375321</v>
      </c>
      <c r="H19" s="97">
        <f t="shared" si="10"/>
        <v>2.2000000000000002</v>
      </c>
      <c r="I19" s="87">
        <f t="shared" si="1"/>
        <v>2.3409331790714307</v>
      </c>
      <c r="J19" s="97">
        <f t="shared" si="11"/>
        <v>2.4300000000000002</v>
      </c>
      <c r="K19" s="87">
        <f t="shared" si="2"/>
        <v>2.5871175011053293</v>
      </c>
      <c r="L19" s="97">
        <f t="shared" si="11"/>
        <v>2.66</v>
      </c>
      <c r="M19" s="87">
        <f t="shared" si="3"/>
        <v>2.8333018231392271</v>
      </c>
      <c r="N19" s="97">
        <f t="shared" si="12"/>
        <v>2.89</v>
      </c>
      <c r="O19" s="87">
        <f t="shared" si="4"/>
        <v>3.0794861451731257</v>
      </c>
      <c r="P19" s="99">
        <f t="shared" si="5"/>
        <v>3.13</v>
      </c>
      <c r="Q19" s="87">
        <f t="shared" si="7"/>
        <v>3.3256704672070247</v>
      </c>
      <c r="R19" s="90"/>
      <c r="S19" s="91"/>
      <c r="T19" s="92"/>
      <c r="U19" s="38"/>
    </row>
    <row r="20" spans="1:21" s="48" customFormat="1" ht="15.75" customHeight="1" x14ac:dyDescent="0.25">
      <c r="A20" s="36"/>
      <c r="B20" s="40"/>
      <c r="C20" s="93">
        <v>1</v>
      </c>
      <c r="D20" s="94">
        <f t="shared" si="8"/>
        <v>1.69</v>
      </c>
      <c r="E20" s="87">
        <f t="shared" si="6"/>
        <v>1.8028064785801483</v>
      </c>
      <c r="F20" s="95">
        <f t="shared" si="9"/>
        <v>1.93</v>
      </c>
      <c r="G20" s="87">
        <f t="shared" si="0"/>
        <v>2.0489908006140456</v>
      </c>
      <c r="H20" s="94">
        <f t="shared" si="10"/>
        <v>2.16</v>
      </c>
      <c r="I20" s="87">
        <f t="shared" si="1"/>
        <v>2.2951751226479442</v>
      </c>
      <c r="J20" s="94">
        <f t="shared" si="11"/>
        <v>2.39</v>
      </c>
      <c r="K20" s="87">
        <f t="shared" si="2"/>
        <v>2.5413594446818428</v>
      </c>
      <c r="L20" s="94">
        <f t="shared" si="11"/>
        <v>2.62</v>
      </c>
      <c r="M20" s="87">
        <f t="shared" si="3"/>
        <v>2.7875437667157406</v>
      </c>
      <c r="N20" s="94">
        <f t="shared" si="12"/>
        <v>2.85</v>
      </c>
      <c r="O20" s="87">
        <f t="shared" si="4"/>
        <v>3.0337280887496396</v>
      </c>
      <c r="P20" s="96">
        <f t="shared" si="5"/>
        <v>3.08</v>
      </c>
      <c r="Q20" s="87">
        <f t="shared" si="7"/>
        <v>3.2799124107835382</v>
      </c>
      <c r="R20" s="90"/>
      <c r="S20" s="91"/>
      <c r="T20" s="92"/>
      <c r="U20" s="38"/>
    </row>
    <row r="21" spans="1:21" s="48" customFormat="1" ht="15.75" customHeight="1" x14ac:dyDescent="0.25">
      <c r="A21" s="36"/>
      <c r="B21" s="41"/>
      <c r="C21" s="93">
        <v>1.1000000000000001</v>
      </c>
      <c r="D21" s="97">
        <f t="shared" si="8"/>
        <v>1.65</v>
      </c>
      <c r="E21" s="87">
        <f>($G$49*D$8*($E$51-$E$52)/12000*$G$50-$E$49*($C21+$I$53)/(6356*$E$53*$E$54)*0.746*2-$I$54/1000)*$G$48*1000</f>
        <v>1.7570484221566616</v>
      </c>
      <c r="F21" s="98">
        <f t="shared" si="9"/>
        <v>1.88</v>
      </c>
      <c r="G21" s="87">
        <f t="shared" si="0"/>
        <v>2.0032327441905591</v>
      </c>
      <c r="H21" s="97">
        <f t="shared" si="10"/>
        <v>2.11</v>
      </c>
      <c r="I21" s="87">
        <f t="shared" si="1"/>
        <v>2.2494170662244577</v>
      </c>
      <c r="J21" s="97">
        <f t="shared" si="11"/>
        <v>2.35</v>
      </c>
      <c r="K21" s="87">
        <f t="shared" si="2"/>
        <v>2.4956013882583563</v>
      </c>
      <c r="L21" s="97">
        <f t="shared" si="11"/>
        <v>2.58</v>
      </c>
      <c r="M21" s="87">
        <f t="shared" si="3"/>
        <v>2.7417857102922545</v>
      </c>
      <c r="N21" s="97">
        <f t="shared" si="12"/>
        <v>2.81</v>
      </c>
      <c r="O21" s="87">
        <f t="shared" si="4"/>
        <v>2.9879700323261531</v>
      </c>
      <c r="P21" s="99">
        <f t="shared" si="5"/>
        <v>3.04</v>
      </c>
      <c r="Q21" s="87">
        <f t="shared" si="7"/>
        <v>3.2341543543600513</v>
      </c>
      <c r="R21" s="90"/>
      <c r="S21" s="91"/>
      <c r="T21" s="92"/>
      <c r="U21" s="38"/>
    </row>
    <row r="22" spans="1:21" s="48" customFormat="1" ht="15.75" customHeight="1" x14ac:dyDescent="0.25">
      <c r="A22" s="36"/>
      <c r="B22" s="41"/>
      <c r="C22" s="93">
        <v>1.2</v>
      </c>
      <c r="D22" s="94">
        <f t="shared" si="8"/>
        <v>1.61</v>
      </c>
      <c r="E22" s="87">
        <f t="shared" si="6"/>
        <v>1.7112903657331751</v>
      </c>
      <c r="F22" s="95">
        <f>ROUND(G22*$E$48/1000,2)</f>
        <v>1.84</v>
      </c>
      <c r="G22" s="87">
        <f t="shared" si="0"/>
        <v>1.9574746877670728</v>
      </c>
      <c r="H22" s="94">
        <f t="shared" si="10"/>
        <v>2.0699999999999998</v>
      </c>
      <c r="I22" s="87">
        <f t="shared" si="1"/>
        <v>2.2036590098009716</v>
      </c>
      <c r="J22" s="94">
        <f t="shared" si="11"/>
        <v>2.2999999999999998</v>
      </c>
      <c r="K22" s="87">
        <f t="shared" si="2"/>
        <v>2.4498433318348702</v>
      </c>
      <c r="L22" s="94">
        <f t="shared" si="11"/>
        <v>2.5299999999999998</v>
      </c>
      <c r="M22" s="87">
        <f t="shared" si="3"/>
        <v>2.696027653868768</v>
      </c>
      <c r="N22" s="94">
        <f t="shared" si="12"/>
        <v>2.77</v>
      </c>
      <c r="O22" s="87">
        <f t="shared" si="4"/>
        <v>2.9422119759026666</v>
      </c>
      <c r="P22" s="96">
        <f t="shared" si="5"/>
        <v>3</v>
      </c>
      <c r="Q22" s="87">
        <f t="shared" si="7"/>
        <v>3.1883962979365648</v>
      </c>
      <c r="R22" s="90"/>
      <c r="S22" s="91"/>
      <c r="T22" s="92"/>
      <c r="U22" s="38"/>
    </row>
    <row r="23" spans="1:21" s="48" customFormat="1" ht="15.75" customHeight="1" x14ac:dyDescent="0.25">
      <c r="A23" s="36"/>
      <c r="B23" s="41"/>
      <c r="C23" s="93">
        <v>1.3</v>
      </c>
      <c r="D23" s="97">
        <f t="shared" si="8"/>
        <v>1.57</v>
      </c>
      <c r="E23" s="87">
        <f t="shared" si="6"/>
        <v>1.6655323093096888</v>
      </c>
      <c r="F23" s="98">
        <f t="shared" si="9"/>
        <v>1.8</v>
      </c>
      <c r="G23" s="87">
        <f t="shared" si="0"/>
        <v>1.9117166313435865</v>
      </c>
      <c r="H23" s="97">
        <f t="shared" si="10"/>
        <v>2.0299999999999998</v>
      </c>
      <c r="I23" s="87">
        <f t="shared" si="1"/>
        <v>2.1579009533774851</v>
      </c>
      <c r="J23" s="97">
        <f t="shared" si="11"/>
        <v>2.2599999999999998</v>
      </c>
      <c r="K23" s="87">
        <f t="shared" si="2"/>
        <v>2.4040852754113837</v>
      </c>
      <c r="L23" s="97">
        <f t="shared" si="11"/>
        <v>2.4900000000000002</v>
      </c>
      <c r="M23" s="87">
        <f t="shared" si="3"/>
        <v>2.6502695974452815</v>
      </c>
      <c r="N23" s="97">
        <f t="shared" si="12"/>
        <v>2.72</v>
      </c>
      <c r="O23" s="87">
        <f t="shared" si="4"/>
        <v>2.8964539194791801</v>
      </c>
      <c r="P23" s="99">
        <f t="shared" si="5"/>
        <v>2.95</v>
      </c>
      <c r="Q23" s="87">
        <f t="shared" si="7"/>
        <v>3.1426382415130782</v>
      </c>
      <c r="R23" s="90"/>
      <c r="S23" s="91"/>
      <c r="T23" s="92"/>
      <c r="U23" s="38"/>
    </row>
    <row r="24" spans="1:21" s="48" customFormat="1" ht="15.75" customHeight="1" x14ac:dyDescent="0.25">
      <c r="A24" s="36"/>
      <c r="B24" s="41"/>
      <c r="C24" s="93">
        <v>1.4</v>
      </c>
      <c r="D24" s="94">
        <f t="shared" si="8"/>
        <v>1.52</v>
      </c>
      <c r="E24" s="87">
        <f t="shared" si="6"/>
        <v>1.6197742528862022</v>
      </c>
      <c r="F24" s="95">
        <f t="shared" si="9"/>
        <v>1.75</v>
      </c>
      <c r="G24" s="87">
        <f t="shared" si="0"/>
        <v>1.8659585749201</v>
      </c>
      <c r="H24" s="94">
        <f t="shared" si="10"/>
        <v>1.99</v>
      </c>
      <c r="I24" s="87">
        <f t="shared" si="1"/>
        <v>2.1121428969539986</v>
      </c>
      <c r="J24" s="94">
        <f t="shared" si="11"/>
        <v>2.2200000000000002</v>
      </c>
      <c r="K24" s="87">
        <f t="shared" si="2"/>
        <v>2.3583272189878972</v>
      </c>
      <c r="L24" s="94">
        <f t="shared" si="11"/>
        <v>2.4500000000000002</v>
      </c>
      <c r="M24" s="87">
        <f t="shared" si="3"/>
        <v>2.6045115410217949</v>
      </c>
      <c r="N24" s="94">
        <f t="shared" si="12"/>
        <v>2.68</v>
      </c>
      <c r="O24" s="87">
        <f t="shared" si="4"/>
        <v>2.8506958630556936</v>
      </c>
      <c r="P24" s="96">
        <f t="shared" si="5"/>
        <v>2.91</v>
      </c>
      <c r="Q24" s="87">
        <f t="shared" si="7"/>
        <v>3.0968801850895917</v>
      </c>
      <c r="R24" s="90"/>
      <c r="S24" s="91"/>
      <c r="T24" s="92"/>
      <c r="U24" s="38"/>
    </row>
    <row r="25" spans="1:21" s="48" customFormat="1" ht="15.75" customHeight="1" x14ac:dyDescent="0.25">
      <c r="A25" s="36"/>
      <c r="B25" s="41"/>
      <c r="C25" s="93">
        <v>1.5</v>
      </c>
      <c r="D25" s="97">
        <f t="shared" si="8"/>
        <v>1.48</v>
      </c>
      <c r="E25" s="87">
        <f t="shared" si="6"/>
        <v>1.5740161964627155</v>
      </c>
      <c r="F25" s="98">
        <f t="shared" si="9"/>
        <v>1.71</v>
      </c>
      <c r="G25" s="87">
        <f t="shared" si="0"/>
        <v>1.8202005184966135</v>
      </c>
      <c r="H25" s="97">
        <f t="shared" si="10"/>
        <v>1.94</v>
      </c>
      <c r="I25" s="87">
        <f t="shared" si="1"/>
        <v>2.0663848405305121</v>
      </c>
      <c r="J25" s="97">
        <f t="shared" si="11"/>
        <v>2.17</v>
      </c>
      <c r="K25" s="87">
        <f t="shared" si="2"/>
        <v>2.3125691625644107</v>
      </c>
      <c r="L25" s="97">
        <f t="shared" si="11"/>
        <v>2.41</v>
      </c>
      <c r="M25" s="87">
        <f t="shared" si="3"/>
        <v>2.5587534845983084</v>
      </c>
      <c r="N25" s="97">
        <f t="shared" si="12"/>
        <v>2.64</v>
      </c>
      <c r="O25" s="87">
        <f t="shared" si="4"/>
        <v>2.804937806632207</v>
      </c>
      <c r="P25" s="99">
        <f t="shared" si="5"/>
        <v>2.87</v>
      </c>
      <c r="Q25" s="87">
        <f t="shared" si="7"/>
        <v>3.0511221286661048</v>
      </c>
      <c r="R25" s="90"/>
      <c r="S25" s="91"/>
      <c r="T25" s="92"/>
      <c r="U25" s="38"/>
    </row>
    <row r="26" spans="1:21" s="48" customFormat="1" ht="15.75" customHeight="1" x14ac:dyDescent="0.25">
      <c r="A26" s="36"/>
      <c r="B26" s="41"/>
      <c r="C26" s="93">
        <v>1.6</v>
      </c>
      <c r="D26" s="94">
        <f t="shared" si="8"/>
        <v>1.44</v>
      </c>
      <c r="E26" s="87">
        <f t="shared" si="6"/>
        <v>1.5282581400392292</v>
      </c>
      <c r="F26" s="95">
        <f t="shared" si="9"/>
        <v>1.67</v>
      </c>
      <c r="G26" s="87">
        <f t="shared" si="0"/>
        <v>1.7744424620731269</v>
      </c>
      <c r="H26" s="94">
        <f t="shared" si="10"/>
        <v>1.9</v>
      </c>
      <c r="I26" s="87">
        <f t="shared" si="1"/>
        <v>2.0206267841070256</v>
      </c>
      <c r="J26" s="94">
        <f t="shared" si="11"/>
        <v>2.13</v>
      </c>
      <c r="K26" s="87">
        <f t="shared" si="2"/>
        <v>2.2668111061409242</v>
      </c>
      <c r="L26" s="94">
        <f t="shared" si="11"/>
        <v>2.36</v>
      </c>
      <c r="M26" s="87">
        <f t="shared" si="3"/>
        <v>2.5129954281748219</v>
      </c>
      <c r="N26" s="94">
        <f t="shared" si="12"/>
        <v>2.59</v>
      </c>
      <c r="O26" s="87">
        <f t="shared" si="4"/>
        <v>2.7591797502087205</v>
      </c>
      <c r="P26" s="96">
        <f t="shared" si="5"/>
        <v>2.83</v>
      </c>
      <c r="Q26" s="87">
        <f t="shared" si="7"/>
        <v>3.0053640722426187</v>
      </c>
      <c r="R26" s="90"/>
      <c r="S26" s="91"/>
      <c r="T26" s="92"/>
      <c r="U26" s="38"/>
    </row>
    <row r="27" spans="1:21" s="48" customFormat="1" ht="15.75" customHeight="1" x14ac:dyDescent="0.25">
      <c r="A27" s="36"/>
      <c r="B27" s="41"/>
      <c r="C27" s="93">
        <v>1.7</v>
      </c>
      <c r="D27" s="97">
        <f t="shared" si="8"/>
        <v>1.39</v>
      </c>
      <c r="E27" s="87">
        <f t="shared" si="6"/>
        <v>1.4825000836157427</v>
      </c>
      <c r="F27" s="98">
        <f t="shared" si="9"/>
        <v>1.62</v>
      </c>
      <c r="G27" s="87">
        <f t="shared" si="0"/>
        <v>1.7286844056496404</v>
      </c>
      <c r="H27" s="97">
        <f t="shared" si="10"/>
        <v>1.86</v>
      </c>
      <c r="I27" s="87">
        <f t="shared" si="1"/>
        <v>1.974868727683539</v>
      </c>
      <c r="J27" s="97">
        <f t="shared" si="11"/>
        <v>2.09</v>
      </c>
      <c r="K27" s="87">
        <f t="shared" si="2"/>
        <v>2.2210530497174377</v>
      </c>
      <c r="L27" s="97">
        <f t="shared" si="11"/>
        <v>2.3199999999999998</v>
      </c>
      <c r="M27" s="87">
        <f t="shared" si="3"/>
        <v>2.4672373717513354</v>
      </c>
      <c r="N27" s="97">
        <f t="shared" si="12"/>
        <v>2.5499999999999998</v>
      </c>
      <c r="O27" s="87">
        <f t="shared" si="4"/>
        <v>2.7134216937852345</v>
      </c>
      <c r="P27" s="99">
        <f t="shared" si="5"/>
        <v>2.78</v>
      </c>
      <c r="Q27" s="87">
        <f t="shared" si="7"/>
        <v>2.9596060158191322</v>
      </c>
      <c r="R27" s="90"/>
      <c r="S27" s="91"/>
      <c r="T27" s="92"/>
      <c r="U27" s="38"/>
    </row>
    <row r="28" spans="1:21" s="48" customFormat="1" ht="15.75" customHeight="1" x14ac:dyDescent="0.25">
      <c r="A28" s="36"/>
      <c r="B28" s="41"/>
      <c r="C28" s="93">
        <v>1.8</v>
      </c>
      <c r="D28" s="94">
        <f t="shared" si="8"/>
        <v>1.35</v>
      </c>
      <c r="E28" s="87">
        <f t="shared" si="6"/>
        <v>1.436742027192256</v>
      </c>
      <c r="F28" s="95">
        <f t="shared" si="9"/>
        <v>1.58</v>
      </c>
      <c r="G28" s="87">
        <f t="shared" si="0"/>
        <v>1.6829263492261539</v>
      </c>
      <c r="H28" s="94">
        <f t="shared" si="10"/>
        <v>1.81</v>
      </c>
      <c r="I28" s="87">
        <f t="shared" si="1"/>
        <v>1.9291106712600525</v>
      </c>
      <c r="J28" s="94">
        <f t="shared" si="11"/>
        <v>2.04</v>
      </c>
      <c r="K28" s="87">
        <f t="shared" si="2"/>
        <v>2.1752949932939507</v>
      </c>
      <c r="L28" s="94">
        <f t="shared" si="11"/>
        <v>2.2799999999999998</v>
      </c>
      <c r="M28" s="87">
        <f t="shared" si="3"/>
        <v>2.4214793153278489</v>
      </c>
      <c r="N28" s="94">
        <f t="shared" si="12"/>
        <v>2.5099999999999998</v>
      </c>
      <c r="O28" s="87">
        <f t="shared" si="4"/>
        <v>2.6676636373617475</v>
      </c>
      <c r="P28" s="96">
        <f t="shared" si="5"/>
        <v>2.74</v>
      </c>
      <c r="Q28" s="87">
        <f t="shared" si="7"/>
        <v>2.9138479593956457</v>
      </c>
      <c r="R28" s="90"/>
      <c r="S28" s="91"/>
      <c r="T28" s="92"/>
      <c r="U28" s="38"/>
    </row>
    <row r="29" spans="1:21" s="48" customFormat="1" ht="15.75" customHeight="1" x14ac:dyDescent="0.25">
      <c r="A29" s="36"/>
      <c r="B29" s="41"/>
      <c r="C29" s="93">
        <v>1.9</v>
      </c>
      <c r="D29" s="97">
        <f t="shared" si="8"/>
        <v>1.31</v>
      </c>
      <c r="E29" s="87">
        <f t="shared" si="6"/>
        <v>1.3909839707687695</v>
      </c>
      <c r="F29" s="98">
        <f t="shared" si="9"/>
        <v>1.54</v>
      </c>
      <c r="G29" s="87">
        <f t="shared" si="0"/>
        <v>1.6371682928026674</v>
      </c>
      <c r="H29" s="97">
        <f t="shared" si="10"/>
        <v>1.77</v>
      </c>
      <c r="I29" s="87">
        <f t="shared" si="1"/>
        <v>1.883352614836566</v>
      </c>
      <c r="J29" s="97">
        <f t="shared" ref="J29:L30" si="13">ROUND(K29*$E$48/1000,2)</f>
        <v>2</v>
      </c>
      <c r="K29" s="87">
        <f t="shared" si="2"/>
        <v>2.1295369368704646</v>
      </c>
      <c r="L29" s="97">
        <f t="shared" si="13"/>
        <v>2.23</v>
      </c>
      <c r="M29" s="87">
        <f t="shared" si="3"/>
        <v>2.3757212589043624</v>
      </c>
      <c r="N29" s="97">
        <f t="shared" si="12"/>
        <v>2.46</v>
      </c>
      <c r="O29" s="87">
        <f t="shared" si="4"/>
        <v>2.621905580938261</v>
      </c>
      <c r="P29" s="99">
        <f>ROUND(Q29*$E$48/1000,2)</f>
        <v>2.7</v>
      </c>
      <c r="Q29" s="87">
        <f t="shared" si="7"/>
        <v>2.8680899029721592</v>
      </c>
      <c r="R29" s="90"/>
      <c r="S29" s="91"/>
      <c r="T29" s="92"/>
      <c r="U29" s="38"/>
    </row>
    <row r="30" spans="1:21" s="48" customFormat="1" ht="15.75" customHeight="1" thickBot="1" x14ac:dyDescent="0.3">
      <c r="A30" s="36"/>
      <c r="B30" s="41"/>
      <c r="C30" s="100">
        <v>2</v>
      </c>
      <c r="D30" s="101">
        <f t="shared" si="8"/>
        <v>1.26</v>
      </c>
      <c r="E30" s="102">
        <f t="shared" si="6"/>
        <v>1.3452259143452832</v>
      </c>
      <c r="F30" s="103">
        <f t="shared" si="9"/>
        <v>1.5</v>
      </c>
      <c r="G30" s="102">
        <f t="shared" si="0"/>
        <v>1.5914102363791809</v>
      </c>
      <c r="H30" s="101">
        <f t="shared" si="10"/>
        <v>1.73</v>
      </c>
      <c r="I30" s="102">
        <f t="shared" si="1"/>
        <v>1.8375945584130795</v>
      </c>
      <c r="J30" s="101">
        <f t="shared" si="13"/>
        <v>1.96</v>
      </c>
      <c r="K30" s="102">
        <f t="shared" si="2"/>
        <v>2.0837788804469781</v>
      </c>
      <c r="L30" s="101">
        <f t="shared" si="13"/>
        <v>2.19</v>
      </c>
      <c r="M30" s="102">
        <f t="shared" si="3"/>
        <v>2.3299632024808759</v>
      </c>
      <c r="N30" s="101">
        <f t="shared" si="12"/>
        <v>2.42</v>
      </c>
      <c r="O30" s="102">
        <f t="shared" si="4"/>
        <v>2.5761475245147745</v>
      </c>
      <c r="P30" s="104">
        <f>ROUND(Q30*$E$48/1000,2)</f>
        <v>2.65</v>
      </c>
      <c r="Q30" s="102">
        <f t="shared" si="7"/>
        <v>2.8223318465486726</v>
      </c>
      <c r="R30" s="90"/>
      <c r="S30" s="91"/>
      <c r="T30" s="92"/>
      <c r="U30" s="38"/>
    </row>
    <row r="31" spans="1:21" ht="9.75" customHeight="1" x14ac:dyDescent="0.25">
      <c r="A31" s="36"/>
      <c r="B31" s="41"/>
      <c r="C31" s="105"/>
      <c r="D31" s="106"/>
      <c r="E31" s="107"/>
      <c r="F31" s="106"/>
      <c r="G31" s="107"/>
      <c r="H31" s="108"/>
      <c r="I31" s="109"/>
      <c r="J31" s="108"/>
      <c r="K31" s="109"/>
      <c r="L31" s="108"/>
      <c r="M31" s="109"/>
      <c r="N31" s="108"/>
      <c r="O31" s="109"/>
      <c r="P31" s="110"/>
      <c r="Q31" s="111"/>
      <c r="R31" s="91"/>
      <c r="S31" s="91"/>
      <c r="T31" s="92"/>
    </row>
    <row r="32" spans="1:21" ht="15.75" hidden="1" customHeight="1" outlineLevel="1" x14ac:dyDescent="0.25">
      <c r="A32" s="36"/>
      <c r="B32" s="41"/>
      <c r="C32" s="112" t="s">
        <v>107</v>
      </c>
      <c r="D32" s="113"/>
      <c r="E32" s="113"/>
      <c r="F32" s="113"/>
      <c r="G32" s="114"/>
      <c r="H32" s="113"/>
      <c r="I32" s="115"/>
      <c r="J32" s="113"/>
      <c r="K32" s="115"/>
      <c r="L32" s="113"/>
      <c r="M32" s="115"/>
      <c r="N32" s="113"/>
      <c r="O32" s="115"/>
      <c r="P32" s="41"/>
      <c r="Q32" s="91"/>
      <c r="R32" s="91"/>
      <c r="S32" s="91"/>
      <c r="T32" s="92"/>
    </row>
    <row r="33" spans="1:20" ht="15.75" hidden="1" customHeight="1" outlineLevel="1" x14ac:dyDescent="0.25">
      <c r="A33" s="36"/>
      <c r="B33" s="41"/>
      <c r="C33" s="116" t="s">
        <v>108</v>
      </c>
      <c r="D33" s="117">
        <f>E33*$N$48/1000</f>
        <v>0</v>
      </c>
      <c r="E33" s="115">
        <f>$G$49*D$8*($N$53-$N$54)/12000*$P$49*$G$48*1000</f>
        <v>0</v>
      </c>
      <c r="F33" s="117">
        <f>G33*$N$48/1000</f>
        <v>0</v>
      </c>
      <c r="G33" s="115">
        <f>$G$49*F$8*($N$53-$N$54)/12000*$P$49*$G$48*1000</f>
        <v>0</v>
      </c>
      <c r="H33" s="117">
        <f>I33*$N$48/1000</f>
        <v>0</v>
      </c>
      <c r="I33" s="115">
        <f>$G$49*H$8*($N$53-$N$54)/12000*$P$49*$G$48*1000</f>
        <v>0</v>
      </c>
      <c r="J33" s="117">
        <f>K33*$N$48/1000</f>
        <v>0</v>
      </c>
      <c r="K33" s="115">
        <f>$G$49*J$8*($N$53-$N$54)/12000*$P$49*$G$48*1000</f>
        <v>0</v>
      </c>
      <c r="L33" s="117">
        <f>M33*$N$48/1000</f>
        <v>0</v>
      </c>
      <c r="M33" s="115">
        <f>$G$49*L$8*($N$53-$N$54)/12000*$P$49*$G$48*1000</f>
        <v>0</v>
      </c>
      <c r="N33" s="117">
        <f>O33*$N$48/1000</f>
        <v>0</v>
      </c>
      <c r="O33" s="115">
        <f>$G$49*N$8*($N$53-$N$54)/12000*$P$49*$G$48*1000</f>
        <v>0</v>
      </c>
      <c r="P33" s="117">
        <f>Q33*$N$48/1000</f>
        <v>0</v>
      </c>
      <c r="Q33" s="109">
        <f>$G$49*P$8*($N$53-$N$54)/12000*$P$49*$G$48*1000</f>
        <v>0</v>
      </c>
      <c r="R33" s="91"/>
      <c r="S33" s="91"/>
      <c r="T33" s="92"/>
    </row>
    <row r="34" spans="1:20" ht="15" hidden="1" customHeight="1" outlineLevel="1" thickBot="1" x14ac:dyDescent="0.3">
      <c r="A34" s="36"/>
      <c r="B34" s="41"/>
      <c r="C34" s="116" t="s">
        <v>109</v>
      </c>
      <c r="D34" s="117">
        <f>E34*$N$48/1000</f>
        <v>0</v>
      </c>
      <c r="E34" s="115">
        <f>$G$49*D$8*($N$53-$N$54)/12000*$P$50*$G$48*1000</f>
        <v>0</v>
      </c>
      <c r="F34" s="117">
        <f>G34*$N$48/1000</f>
        <v>0</v>
      </c>
      <c r="G34" s="115">
        <f>$G$49*F$8*($N$53-$N$54)/12000*$P$50*$G$48*1000</f>
        <v>0</v>
      </c>
      <c r="H34" s="117">
        <f>I34*$N$48/1000</f>
        <v>0</v>
      </c>
      <c r="I34" s="115">
        <f>$G$49*H$8*($N$53-$N$54)/12000*$P$50*$G$48*1000</f>
        <v>0</v>
      </c>
      <c r="J34" s="117">
        <f>K34*$N$48/1000</f>
        <v>0</v>
      </c>
      <c r="K34" s="115">
        <f>$G$49*J$8*($N$53-$N$54)/12000*$P$50*$G$48*1000</f>
        <v>0</v>
      </c>
      <c r="L34" s="117">
        <f>M34*$N$48/1000</f>
        <v>0</v>
      </c>
      <c r="M34" s="115">
        <f>$G$49*L$8*($N$53-$N$54)/12000*$P$50*$G$48*1000</f>
        <v>0</v>
      </c>
      <c r="N34" s="117">
        <f>O34*$N$48/1000</f>
        <v>0</v>
      </c>
      <c r="O34" s="115">
        <f>$G$49*N$8*($N$53-$N$54)/12000*$P$50*$G$48*1000</f>
        <v>0</v>
      </c>
      <c r="P34" s="117">
        <f>Q34*$N$48/1000</f>
        <v>0</v>
      </c>
      <c r="Q34" s="118">
        <f>$G$49*P$8*($N$53-$N$54)/12000*$P$50*$G$48*1000</f>
        <v>0</v>
      </c>
      <c r="R34" s="91"/>
      <c r="S34" s="91"/>
      <c r="T34" s="92"/>
    </row>
    <row r="35" spans="1:20" ht="12" customHeight="1" collapsed="1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91"/>
      <c r="R35" s="91"/>
      <c r="S35" s="91"/>
      <c r="T35" s="92"/>
    </row>
    <row r="36" spans="1:20" ht="14.25" customHeight="1" outlineLevel="1" x14ac:dyDescent="0.25">
      <c r="A36" s="36"/>
      <c r="B36" s="119"/>
      <c r="C36" s="120" t="s">
        <v>110</v>
      </c>
      <c r="D36" s="121"/>
      <c r="E36" s="121"/>
      <c r="F36" s="121"/>
      <c r="G36" s="121"/>
      <c r="H36" s="121"/>
      <c r="I36" s="121"/>
      <c r="J36" s="122"/>
      <c r="K36" s="41"/>
      <c r="L36" s="40"/>
      <c r="M36" s="41"/>
      <c r="N36" s="41"/>
      <c r="O36" s="41"/>
      <c r="P36" s="123"/>
      <c r="Q36" s="124"/>
      <c r="R36" s="91"/>
      <c r="S36" s="91"/>
      <c r="T36" s="92"/>
    </row>
    <row r="37" spans="1:20" ht="14.25" customHeight="1" outlineLevel="1" x14ac:dyDescent="0.25">
      <c r="A37" s="36"/>
      <c r="B37" s="119"/>
      <c r="C37" s="121" t="s">
        <v>111</v>
      </c>
      <c r="D37" s="121"/>
      <c r="E37" s="121"/>
      <c r="F37" s="125"/>
      <c r="G37" s="121"/>
      <c r="H37" s="121">
        <v>1000</v>
      </c>
      <c r="I37" s="121" t="s">
        <v>112</v>
      </c>
      <c r="J37" s="126"/>
      <c r="K37" s="41"/>
      <c r="L37" s="40"/>
      <c r="M37" s="41"/>
      <c r="N37" s="40"/>
      <c r="O37" s="41"/>
      <c r="P37" s="127"/>
      <c r="Q37" s="124"/>
      <c r="R37" s="91"/>
      <c r="S37" s="91"/>
      <c r="T37" s="92"/>
    </row>
    <row r="38" spans="1:20" ht="14.25" customHeight="1" outlineLevel="1" x14ac:dyDescent="0.25">
      <c r="A38" s="36"/>
      <c r="B38" s="119"/>
      <c r="C38" s="121" t="s">
        <v>113</v>
      </c>
      <c r="D38" s="121"/>
      <c r="E38" s="121"/>
      <c r="F38" s="121"/>
      <c r="G38" s="121"/>
      <c r="H38" s="128">
        <v>1</v>
      </c>
      <c r="I38" s="121"/>
      <c r="J38" s="122"/>
      <c r="K38" s="41"/>
      <c r="L38" s="129"/>
      <c r="M38" s="41"/>
      <c r="N38" s="130"/>
      <c r="O38" s="131"/>
      <c r="P38" s="132"/>
      <c r="Q38" s="124"/>
      <c r="R38" s="91"/>
      <c r="S38" s="91"/>
      <c r="T38" s="92"/>
    </row>
    <row r="39" spans="1:20" ht="14.25" customHeight="1" outlineLevel="1" x14ac:dyDescent="0.2">
      <c r="A39" s="36"/>
      <c r="B39" s="119"/>
      <c r="C39" s="121" t="s">
        <v>114</v>
      </c>
      <c r="D39" s="121"/>
      <c r="E39" s="121"/>
      <c r="F39" s="121"/>
      <c r="G39" s="121"/>
      <c r="H39" s="133">
        <v>0.7</v>
      </c>
      <c r="I39" s="121"/>
      <c r="J39" s="122"/>
      <c r="K39" s="41"/>
      <c r="L39" s="40"/>
      <c r="M39" s="41"/>
      <c r="N39" s="130"/>
      <c r="O39" s="131"/>
      <c r="P39" s="132"/>
      <c r="Q39" s="134"/>
      <c r="R39" s="41"/>
      <c r="S39" s="36"/>
    </row>
    <row r="40" spans="1:20" ht="14.25" customHeight="1" outlineLevel="1" x14ac:dyDescent="0.2">
      <c r="A40" s="36"/>
      <c r="B40" s="119"/>
      <c r="C40" s="121" t="s">
        <v>115</v>
      </c>
      <c r="D40" s="121"/>
      <c r="E40" s="121"/>
      <c r="F40" s="121"/>
      <c r="G40" s="121"/>
      <c r="H40" s="135">
        <f>L20</f>
        <v>2.62</v>
      </c>
      <c r="I40" s="121" t="s">
        <v>116</v>
      </c>
      <c r="J40" s="122"/>
      <c r="K40" s="41"/>
      <c r="L40" s="129"/>
      <c r="M40" s="41"/>
      <c r="N40" s="130"/>
      <c r="O40" s="136"/>
      <c r="P40" s="132"/>
      <c r="Q40" s="134"/>
      <c r="R40" s="41"/>
      <c r="S40" s="36"/>
    </row>
    <row r="41" spans="1:20" ht="14.25" hidden="1" customHeight="1" outlineLevel="1" x14ac:dyDescent="0.2">
      <c r="A41" s="36"/>
      <c r="B41" s="119"/>
      <c r="C41" s="121"/>
      <c r="D41" s="121"/>
      <c r="E41" s="121"/>
      <c r="F41" s="121"/>
      <c r="G41" s="121"/>
      <c r="H41" s="137"/>
      <c r="I41" s="121"/>
      <c r="J41" s="122"/>
      <c r="K41" s="41"/>
      <c r="L41" s="40"/>
      <c r="M41" s="41"/>
      <c r="N41" s="130"/>
      <c r="O41" s="138"/>
      <c r="P41" s="132"/>
      <c r="Q41" s="134"/>
      <c r="R41" s="41"/>
      <c r="S41" s="36"/>
    </row>
    <row r="42" spans="1:20" ht="14.25" customHeight="1" outlineLevel="1" x14ac:dyDescent="0.2">
      <c r="A42" s="36"/>
      <c r="B42" s="119"/>
      <c r="C42" s="121" t="s">
        <v>117</v>
      </c>
      <c r="D42" s="121"/>
      <c r="E42" s="121"/>
      <c r="F42" s="121"/>
      <c r="G42" s="121"/>
      <c r="H42" s="133">
        <v>0.74</v>
      </c>
      <c r="I42" s="121"/>
      <c r="J42" s="122"/>
      <c r="K42" s="41"/>
      <c r="L42" s="40"/>
      <c r="M42" s="41"/>
      <c r="N42" s="41"/>
      <c r="O42" s="41"/>
      <c r="P42" s="123"/>
      <c r="Q42" s="134"/>
      <c r="R42" s="41"/>
      <c r="S42" s="36"/>
    </row>
    <row r="43" spans="1:20" ht="14.25" hidden="1" customHeight="1" outlineLevel="1" x14ac:dyDescent="0.2">
      <c r="A43" s="36"/>
      <c r="B43" s="119"/>
      <c r="C43" s="121"/>
      <c r="D43" s="121"/>
      <c r="E43" s="121"/>
      <c r="F43" s="121"/>
      <c r="G43" s="121"/>
      <c r="H43" s="135"/>
      <c r="I43" s="121"/>
      <c r="J43" s="122"/>
      <c r="K43" s="41"/>
      <c r="L43" s="139"/>
      <c r="M43" s="41"/>
      <c r="N43" s="41"/>
      <c r="O43" s="41"/>
      <c r="P43" s="123"/>
      <c r="Q43" s="134"/>
      <c r="R43" s="41"/>
      <c r="S43" s="36"/>
    </row>
    <row r="44" spans="1:20" ht="14.25" customHeight="1" outlineLevel="1" thickBot="1" x14ac:dyDescent="0.25">
      <c r="A44" s="36"/>
      <c r="B44" s="119"/>
      <c r="C44" s="121" t="s">
        <v>118</v>
      </c>
      <c r="D44" s="140">
        <f>H40+H43</f>
        <v>2.62</v>
      </c>
      <c r="E44" s="141" t="s">
        <v>119</v>
      </c>
      <c r="F44" s="142">
        <v>940</v>
      </c>
      <c r="G44" s="143" t="s">
        <v>120</v>
      </c>
      <c r="H44" s="144">
        <f>D44*F44</f>
        <v>2462.8000000000002</v>
      </c>
      <c r="I44" s="121" t="s">
        <v>121</v>
      </c>
      <c r="J44" s="145"/>
      <c r="K44" s="41"/>
      <c r="L44" s="139"/>
      <c r="M44" s="41"/>
      <c r="N44" s="41"/>
      <c r="O44" s="41"/>
      <c r="P44" s="123"/>
      <c r="Q44" s="146"/>
      <c r="R44" s="41"/>
      <c r="S44" s="36"/>
    </row>
    <row r="45" spans="1:20" ht="12.75" customHeight="1" thickTop="1" x14ac:dyDescent="0.2">
      <c r="A45" s="36"/>
      <c r="B45" s="41"/>
      <c r="C45" s="121" t="s">
        <v>122</v>
      </c>
      <c r="D45" s="140"/>
      <c r="E45" s="141"/>
      <c r="F45" s="142"/>
      <c r="G45" s="143"/>
      <c r="H45" s="147">
        <f>H37*M20/1000</f>
        <v>2.7875437667157406</v>
      </c>
      <c r="I45" s="121" t="s">
        <v>123</v>
      </c>
      <c r="J45" s="145"/>
      <c r="K45" s="41"/>
      <c r="L45" s="41"/>
      <c r="M45" s="41"/>
      <c r="N45" s="41"/>
      <c r="O45" s="41"/>
      <c r="P45" s="41"/>
      <c r="Q45" s="148"/>
      <c r="R45" s="41"/>
      <c r="S45" s="36"/>
    </row>
    <row r="46" spans="1:20" ht="12" customHeight="1" outlineLevel="1" x14ac:dyDescent="0.25">
      <c r="A46" s="36"/>
      <c r="B46" s="50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123"/>
      <c r="R46" s="36"/>
      <c r="S46" s="36"/>
    </row>
    <row r="47" spans="1:20" outlineLevel="1" x14ac:dyDescent="0.2">
      <c r="A47" s="36"/>
      <c r="B47" s="50"/>
      <c r="C47" s="149" t="s">
        <v>124</v>
      </c>
      <c r="D47" s="150"/>
      <c r="E47" s="151" t="s">
        <v>16</v>
      </c>
      <c r="F47" s="152"/>
      <c r="G47" s="152"/>
      <c r="H47" s="152"/>
      <c r="I47" s="152"/>
      <c r="J47" s="152"/>
      <c r="K47" s="152"/>
      <c r="L47" s="151"/>
      <c r="M47" s="152"/>
      <c r="N47" s="152"/>
      <c r="O47" s="152"/>
      <c r="P47" s="152"/>
      <c r="Q47" s="123"/>
      <c r="R47" s="36"/>
      <c r="S47" s="36"/>
    </row>
    <row r="48" spans="1:20" outlineLevel="1" x14ac:dyDescent="0.2">
      <c r="A48" s="36"/>
      <c r="B48" s="50"/>
      <c r="C48" s="129" t="s">
        <v>60</v>
      </c>
      <c r="D48" s="129"/>
      <c r="E48" s="153">
        <v>940</v>
      </c>
      <c r="F48" s="154" t="s">
        <v>62</v>
      </c>
      <c r="G48" s="155">
        <v>1</v>
      </c>
      <c r="H48" s="151" t="s">
        <v>46</v>
      </c>
      <c r="I48" s="152"/>
      <c r="J48" s="152"/>
      <c r="K48" s="152"/>
      <c r="L48" s="129"/>
      <c r="M48" s="154"/>
      <c r="N48" s="156"/>
      <c r="O48" s="154"/>
      <c r="P48" s="157"/>
      <c r="Q48" s="123"/>
      <c r="R48" s="36"/>
      <c r="S48" s="36"/>
    </row>
    <row r="49" spans="1:19" outlineLevel="1" x14ac:dyDescent="0.2">
      <c r="A49" s="36"/>
      <c r="B49" s="50"/>
      <c r="C49" s="129" t="s">
        <v>17</v>
      </c>
      <c r="D49" s="129"/>
      <c r="E49" s="158">
        <v>1</v>
      </c>
      <c r="F49" s="129" t="s">
        <v>19</v>
      </c>
      <c r="G49" s="159">
        <f>E49*I49*60</f>
        <v>4.5</v>
      </c>
      <c r="H49" s="129" t="s">
        <v>21</v>
      </c>
      <c r="I49" s="129">
        <v>7.4999999999999997E-2</v>
      </c>
      <c r="J49" s="129" t="s">
        <v>22</v>
      </c>
      <c r="K49" s="152"/>
      <c r="L49" s="40"/>
      <c r="M49" s="152"/>
      <c r="N49" s="154"/>
      <c r="O49" s="129"/>
      <c r="P49" s="159"/>
      <c r="Q49" s="160"/>
      <c r="R49" s="36"/>
      <c r="S49" s="36"/>
    </row>
    <row r="50" spans="1:19" outlineLevel="1" x14ac:dyDescent="0.2">
      <c r="A50" s="36"/>
      <c r="B50" s="50"/>
      <c r="C50" s="149" t="s">
        <v>23</v>
      </c>
      <c r="D50" s="150"/>
      <c r="E50" s="161">
        <v>11.8</v>
      </c>
      <c r="F50" s="129" t="s">
        <v>25</v>
      </c>
      <c r="G50" s="162">
        <f>12/E50</f>
        <v>1.0169491525423728</v>
      </c>
      <c r="H50" s="129" t="s">
        <v>27</v>
      </c>
      <c r="I50" s="40"/>
      <c r="J50" s="41"/>
      <c r="K50" s="41"/>
      <c r="L50" s="40"/>
      <c r="M50" s="163"/>
      <c r="N50" s="150"/>
      <c r="O50" s="129"/>
      <c r="P50" s="159"/>
      <c r="Q50" s="160"/>
      <c r="R50" s="36"/>
      <c r="S50" s="164"/>
    </row>
    <row r="51" spans="1:19" ht="11.25" customHeight="1" outlineLevel="1" x14ac:dyDescent="0.2">
      <c r="A51" s="36"/>
      <c r="B51" s="50"/>
      <c r="C51" s="129" t="s">
        <v>28</v>
      </c>
      <c r="D51" s="41"/>
      <c r="E51" s="165">
        <v>41.396000000000001</v>
      </c>
      <c r="F51" s="129" t="s">
        <v>30</v>
      </c>
      <c r="G51" s="166" t="s">
        <v>33</v>
      </c>
      <c r="H51" s="167" t="s">
        <v>32</v>
      </c>
      <c r="I51" s="166" t="s">
        <v>35</v>
      </c>
      <c r="J51" s="167" t="s">
        <v>34</v>
      </c>
      <c r="K51" s="41"/>
      <c r="L51" s="168"/>
      <c r="M51" s="169"/>
      <c r="N51" s="170"/>
      <c r="O51" s="129"/>
      <c r="P51" s="159"/>
      <c r="Q51" s="123"/>
      <c r="R51" s="36"/>
      <c r="S51" s="36"/>
    </row>
    <row r="52" spans="1:19" outlineLevel="1" x14ac:dyDescent="0.2">
      <c r="A52" s="36"/>
      <c r="B52" s="50"/>
      <c r="C52" s="40" t="s">
        <v>36</v>
      </c>
      <c r="D52" s="150"/>
      <c r="E52" s="165">
        <v>28.484999999999999</v>
      </c>
      <c r="F52" s="129" t="s">
        <v>30</v>
      </c>
      <c r="G52" s="171" t="s">
        <v>39</v>
      </c>
      <c r="H52" s="167" t="s">
        <v>32</v>
      </c>
      <c r="I52" s="171" t="s">
        <v>40</v>
      </c>
      <c r="J52" s="167" t="s">
        <v>34</v>
      </c>
      <c r="K52" s="41"/>
      <c r="L52" s="168"/>
      <c r="M52" s="169"/>
      <c r="N52" s="170"/>
      <c r="O52" s="129"/>
      <c r="P52" s="159"/>
      <c r="Q52" s="123"/>
      <c r="R52" s="36"/>
      <c r="S52" s="36"/>
    </row>
    <row r="53" spans="1:19" outlineLevel="1" x14ac:dyDescent="0.2">
      <c r="A53" s="36"/>
      <c r="B53" s="50"/>
      <c r="C53" s="129" t="s">
        <v>41</v>
      </c>
      <c r="D53" s="41"/>
      <c r="E53" s="172">
        <v>0.6</v>
      </c>
      <c r="F53" s="173" t="s">
        <v>43</v>
      </c>
      <c r="G53" s="173" t="s">
        <v>49</v>
      </c>
      <c r="H53" s="41"/>
      <c r="I53" s="174">
        <v>0.6</v>
      </c>
      <c r="J53" s="173" t="s">
        <v>51</v>
      </c>
      <c r="K53" s="41"/>
      <c r="L53" s="40"/>
      <c r="M53" s="41"/>
      <c r="N53" s="152"/>
      <c r="O53" s="129"/>
      <c r="P53" s="68"/>
      <c r="Q53" s="123"/>
      <c r="R53" s="36"/>
      <c r="S53" s="36"/>
    </row>
    <row r="54" spans="1:19" outlineLevel="1" x14ac:dyDescent="0.2">
      <c r="A54" s="36"/>
      <c r="B54" s="50"/>
      <c r="C54" s="129" t="s">
        <v>44</v>
      </c>
      <c r="D54" s="41"/>
      <c r="E54" s="175">
        <v>0.85499999999999998</v>
      </c>
      <c r="F54" s="173" t="s">
        <v>43</v>
      </c>
      <c r="G54" s="40" t="s">
        <v>53</v>
      </c>
      <c r="H54" s="40"/>
      <c r="I54" s="68">
        <v>0.05</v>
      </c>
      <c r="J54" s="40" t="s">
        <v>55</v>
      </c>
      <c r="K54" s="41"/>
      <c r="L54" s="40"/>
      <c r="M54" s="41"/>
      <c r="N54" s="152"/>
      <c r="O54" s="129"/>
      <c r="P54" s="154"/>
      <c r="Q54" s="123"/>
      <c r="R54" s="36"/>
      <c r="S54" s="36"/>
    </row>
    <row r="55" spans="1:19" ht="10.5" customHeight="1" x14ac:dyDescent="0.2">
      <c r="A55" s="36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36"/>
      <c r="S55" s="36"/>
    </row>
    <row r="56" spans="1:19" outlineLevel="1" x14ac:dyDescent="0.2">
      <c r="A56" s="36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0"/>
      <c r="P56" s="41"/>
      <c r="Q56" s="36"/>
    </row>
    <row r="57" spans="1:19" hidden="1" outlineLevel="1" x14ac:dyDescent="0.2">
      <c r="A57" s="36"/>
      <c r="B57" s="36"/>
      <c r="C57" s="36" t="s">
        <v>125</v>
      </c>
      <c r="D57" s="36"/>
      <c r="E57" s="176">
        <f>AVERAGE(E17:E23,G17:G23,I17:I23,K17:K23,M17:M23,O17:O23,Q17:Q23)</f>
        <v>2.5413594446818428</v>
      </c>
      <c r="F57" s="36" t="s">
        <v>126</v>
      </c>
      <c r="G57" s="36" t="s">
        <v>127</v>
      </c>
      <c r="H57" s="36"/>
      <c r="I57" s="36"/>
      <c r="J57" s="36"/>
      <c r="K57" s="36"/>
      <c r="L57" s="168"/>
      <c r="M57" s="168"/>
      <c r="N57" s="168"/>
      <c r="O57" s="168"/>
      <c r="P57" s="36"/>
      <c r="Q57" s="36"/>
    </row>
    <row r="58" spans="1:19" hidden="1" outlineLevel="1" x14ac:dyDescent="0.2">
      <c r="A58" s="36"/>
      <c r="B58" s="36"/>
      <c r="C58" s="36" t="s">
        <v>128</v>
      </c>
      <c r="D58" s="36"/>
      <c r="E58" s="177">
        <f>E48*E57/1000</f>
        <v>2.3888778780009323</v>
      </c>
      <c r="F58" s="36" t="s">
        <v>129</v>
      </c>
      <c r="G58" s="36"/>
      <c r="H58" s="36"/>
      <c r="I58" s="36"/>
      <c r="J58" s="36"/>
      <c r="K58" s="36"/>
      <c r="L58" s="168"/>
      <c r="M58" s="168"/>
      <c r="N58" s="178"/>
      <c r="O58" s="168"/>
      <c r="P58" s="36"/>
      <c r="Q58" s="36"/>
    </row>
    <row r="59" spans="1:19" ht="18.75" hidden="1" outlineLevel="1" thickBot="1" x14ac:dyDescent="0.3">
      <c r="A59" s="36"/>
      <c r="B59" s="36"/>
      <c r="C59" s="179" t="s">
        <v>130</v>
      </c>
      <c r="D59" s="180"/>
      <c r="E59" s="181">
        <f>ROUNDDOWN(E58,1)</f>
        <v>2.2999999999999998</v>
      </c>
      <c r="F59" s="182" t="s">
        <v>129</v>
      </c>
      <c r="G59" s="36"/>
      <c r="H59" s="36"/>
      <c r="I59" s="36"/>
      <c r="J59" s="36"/>
      <c r="K59" s="36"/>
      <c r="L59" s="168"/>
      <c r="M59" s="168"/>
      <c r="N59" s="178"/>
      <c r="O59" s="168"/>
      <c r="P59" s="36"/>
      <c r="Q59" s="36"/>
    </row>
    <row r="60" spans="1:19" outlineLevel="1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168"/>
      <c r="M60" s="168"/>
      <c r="N60" s="178"/>
      <c r="O60" s="168"/>
      <c r="P60" s="36"/>
      <c r="Q60" s="36"/>
    </row>
    <row r="61" spans="1:19" outlineLevel="1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168"/>
      <c r="M61" s="168"/>
      <c r="N61" s="178"/>
      <c r="O61" s="168"/>
      <c r="P61" s="36"/>
      <c r="Q61" s="36"/>
    </row>
    <row r="62" spans="1:19" outlineLevel="1" x14ac:dyDescent="0.2">
      <c r="A62" s="36"/>
      <c r="B62" s="36"/>
      <c r="C62" s="183" t="s">
        <v>131</v>
      </c>
      <c r="D62" s="183" t="s">
        <v>113</v>
      </c>
      <c r="E62" s="183" t="s">
        <v>132</v>
      </c>
      <c r="F62" s="184"/>
      <c r="G62" s="183"/>
      <c r="H62" s="183"/>
      <c r="I62" s="183"/>
      <c r="J62" s="183"/>
      <c r="K62" s="36"/>
      <c r="L62" s="168"/>
      <c r="M62" s="168"/>
      <c r="N62" s="178"/>
      <c r="O62" s="185"/>
      <c r="P62" s="36"/>
      <c r="Q62" s="36"/>
      <c r="R62" s="48"/>
    </row>
    <row r="63" spans="1:19" outlineLevel="1" x14ac:dyDescent="0.2">
      <c r="A63" s="36"/>
      <c r="B63" s="36"/>
      <c r="C63" s="183"/>
      <c r="D63" s="183" t="s">
        <v>114</v>
      </c>
      <c r="E63" s="183" t="s">
        <v>133</v>
      </c>
      <c r="F63" s="184"/>
      <c r="G63" s="183"/>
      <c r="H63" s="183"/>
      <c r="I63" s="183"/>
      <c r="J63" s="183"/>
      <c r="K63" s="36"/>
      <c r="L63" s="168"/>
      <c r="M63" s="36"/>
      <c r="N63" s="36"/>
      <c r="O63" s="186"/>
      <c r="P63" s="36"/>
      <c r="Q63" s="36"/>
      <c r="R63" s="48"/>
    </row>
    <row r="64" spans="1:19" outlineLevel="1" x14ac:dyDescent="0.2">
      <c r="A64" s="36"/>
      <c r="B64" s="36"/>
      <c r="C64" s="183"/>
      <c r="D64" s="183" t="s">
        <v>134</v>
      </c>
      <c r="E64" s="183" t="s">
        <v>135</v>
      </c>
      <c r="F64" s="184"/>
      <c r="G64" s="183"/>
      <c r="H64" s="183"/>
      <c r="I64" s="183"/>
      <c r="J64" s="183"/>
      <c r="K64" s="36"/>
      <c r="L64" s="168"/>
      <c r="M64" s="36"/>
      <c r="N64" s="36"/>
      <c r="O64" s="186"/>
      <c r="P64" s="36"/>
      <c r="Q64" s="36"/>
      <c r="R64" s="48"/>
    </row>
    <row r="65" spans="1:19" outlineLevel="1" x14ac:dyDescent="0.2">
      <c r="A65" s="36"/>
      <c r="B65" s="36"/>
      <c r="C65" s="183"/>
      <c r="D65" s="183" t="s">
        <v>136</v>
      </c>
      <c r="E65" s="183" t="s">
        <v>135</v>
      </c>
      <c r="F65" s="184"/>
      <c r="G65" s="183"/>
      <c r="H65" s="183"/>
      <c r="I65" s="183"/>
      <c r="J65" s="183"/>
      <c r="K65" s="36"/>
      <c r="L65" s="168"/>
      <c r="M65" s="36"/>
      <c r="N65" s="36"/>
      <c r="O65" s="186"/>
      <c r="P65" s="36"/>
      <c r="Q65" s="36"/>
      <c r="R65" s="48"/>
    </row>
    <row r="66" spans="1:19" x14ac:dyDescent="0.2">
      <c r="A66" s="36"/>
      <c r="B66" s="36"/>
      <c r="C66" s="183"/>
      <c r="D66" s="183"/>
      <c r="E66" s="183"/>
      <c r="F66" s="184"/>
      <c r="G66" s="183"/>
      <c r="H66" s="183"/>
      <c r="I66" s="183"/>
      <c r="J66" s="183"/>
      <c r="K66" s="36"/>
      <c r="L66" s="36"/>
      <c r="M66" s="36"/>
      <c r="N66" s="36"/>
      <c r="O66" s="36"/>
      <c r="P66" s="36"/>
      <c r="Q66" s="36"/>
      <c r="R66" s="187"/>
      <c r="S66" s="36"/>
    </row>
    <row r="67" spans="1:19" outlineLevel="1" x14ac:dyDescent="0.2">
      <c r="A67" s="36"/>
      <c r="B67" s="36"/>
      <c r="C67" s="183"/>
      <c r="G67" s="183"/>
      <c r="H67" s="183"/>
      <c r="I67" s="183"/>
      <c r="J67" s="183"/>
      <c r="K67" s="36"/>
      <c r="L67" s="36"/>
      <c r="M67" s="36"/>
      <c r="N67" s="36"/>
      <c r="O67" s="36"/>
      <c r="P67" s="36"/>
      <c r="Q67" s="36"/>
      <c r="R67" s="187"/>
      <c r="S67" s="36"/>
    </row>
    <row r="68" spans="1:19" outlineLevel="1" x14ac:dyDescent="0.2">
      <c r="A68" s="36"/>
      <c r="B68" s="36"/>
      <c r="C68" s="183" t="s">
        <v>137</v>
      </c>
      <c r="D68" s="183" t="s">
        <v>138</v>
      </c>
      <c r="E68" s="183"/>
      <c r="F68" s="183"/>
      <c r="H68" s="183"/>
      <c r="I68" s="183"/>
      <c r="J68" s="183"/>
      <c r="K68" s="36"/>
      <c r="L68" s="36"/>
      <c r="M68" s="36"/>
      <c r="N68" s="36"/>
      <c r="O68" s="36"/>
      <c r="P68" s="36"/>
      <c r="Q68" s="36"/>
      <c r="R68" s="187"/>
      <c r="S68" s="36"/>
    </row>
    <row r="69" spans="1:19" outlineLevel="1" x14ac:dyDescent="0.2">
      <c r="A69" s="36"/>
      <c r="B69" s="36"/>
      <c r="D69" s="183"/>
      <c r="E69" s="183"/>
      <c r="F69" s="183"/>
      <c r="G69" s="183"/>
      <c r="H69" s="183"/>
      <c r="I69" s="183"/>
      <c r="J69" s="183"/>
      <c r="K69" s="36"/>
      <c r="L69" s="36"/>
      <c r="M69" s="36"/>
      <c r="N69" s="36"/>
      <c r="O69" s="36"/>
      <c r="P69" s="36"/>
      <c r="Q69" s="36"/>
      <c r="R69" s="187"/>
      <c r="S69" s="36"/>
    </row>
    <row r="70" spans="1:19" outlineLevel="1" x14ac:dyDescent="0.2">
      <c r="A70" s="36"/>
      <c r="B70" s="36"/>
      <c r="C70" s="183"/>
      <c r="D70" s="183"/>
      <c r="E70" s="183"/>
      <c r="F70" s="183"/>
      <c r="G70" s="183"/>
      <c r="H70" s="183"/>
      <c r="I70" s="183"/>
      <c r="J70" s="183"/>
      <c r="K70" s="36"/>
      <c r="L70" s="36"/>
      <c r="M70" s="36"/>
      <c r="N70" s="36"/>
      <c r="O70" s="36"/>
      <c r="P70" s="36"/>
      <c r="Q70" s="36"/>
      <c r="R70" s="187"/>
      <c r="S70" s="36"/>
    </row>
    <row r="71" spans="1:19" outlineLevel="1" x14ac:dyDescent="0.2">
      <c r="A71" s="36"/>
      <c r="B71" s="36"/>
      <c r="C71" s="183" t="s">
        <v>139</v>
      </c>
      <c r="D71" s="183" t="s">
        <v>140</v>
      </c>
      <c r="E71" s="183"/>
      <c r="F71" s="188"/>
      <c r="G71" s="183"/>
      <c r="H71" s="183"/>
      <c r="I71" s="183"/>
      <c r="J71" s="183"/>
      <c r="K71" s="36"/>
      <c r="L71" s="36"/>
      <c r="M71" s="36"/>
      <c r="N71" s="36"/>
      <c r="O71" s="36"/>
      <c r="P71" s="36"/>
      <c r="Q71" s="36"/>
      <c r="R71" s="187"/>
      <c r="S71" s="36"/>
    </row>
    <row r="72" spans="1:19" outlineLevel="1" x14ac:dyDescent="0.2">
      <c r="A72" s="36"/>
      <c r="B72" s="36"/>
      <c r="D72" s="183" t="s">
        <v>141</v>
      </c>
      <c r="E72" s="183"/>
      <c r="F72" s="189">
        <f>H45</f>
        <v>2.7875437667157406</v>
      </c>
      <c r="G72" s="183" t="s">
        <v>142</v>
      </c>
      <c r="I72" s="183"/>
      <c r="J72" s="183"/>
      <c r="K72" s="36"/>
      <c r="L72" s="36"/>
      <c r="M72" s="36"/>
      <c r="N72" s="36"/>
      <c r="O72" s="36"/>
      <c r="P72" s="36"/>
      <c r="Q72" s="36"/>
      <c r="R72" s="187"/>
      <c r="S72" s="36"/>
    </row>
    <row r="73" spans="1:19" ht="12.75" customHeight="1" outlineLevel="1" x14ac:dyDescent="0.2">
      <c r="A73" s="36"/>
      <c r="B73" s="36"/>
      <c r="C73" s="183"/>
      <c r="D73" s="183" t="s">
        <v>143</v>
      </c>
      <c r="E73" s="183"/>
      <c r="F73" s="190">
        <f>H45*2.96</f>
        <v>8.2511295494785912</v>
      </c>
      <c r="G73" s="183"/>
      <c r="I73" s="183"/>
      <c r="J73" s="183"/>
      <c r="K73" s="36"/>
      <c r="L73" s="36"/>
      <c r="M73" s="36"/>
      <c r="N73" s="36"/>
      <c r="O73" s="36"/>
      <c r="P73" s="36"/>
      <c r="Q73" s="36"/>
      <c r="R73" s="187"/>
      <c r="S73" s="36"/>
    </row>
    <row r="74" spans="1:19" outlineLevel="1" x14ac:dyDescent="0.2">
      <c r="A74" s="36"/>
      <c r="B74" s="36"/>
      <c r="C74" s="183"/>
      <c r="D74" s="183" t="s">
        <v>144</v>
      </c>
      <c r="E74" s="183"/>
      <c r="F74" s="191">
        <f>F72*1517</f>
        <v>4228.7038941077781</v>
      </c>
      <c r="G74" s="183"/>
      <c r="I74" s="183"/>
      <c r="J74" s="183"/>
      <c r="K74" s="36"/>
      <c r="L74" s="36"/>
      <c r="M74" s="36"/>
      <c r="N74" s="36"/>
      <c r="O74" s="36"/>
      <c r="P74" s="36"/>
      <c r="Q74" s="36"/>
      <c r="R74" s="36"/>
      <c r="S74" s="36"/>
    </row>
    <row r="75" spans="1:19" outlineLevel="1" x14ac:dyDescent="0.2">
      <c r="A75" s="36"/>
      <c r="B75" s="36"/>
      <c r="C75" s="183"/>
      <c r="D75" s="183"/>
      <c r="E75" s="183"/>
      <c r="F75" s="183"/>
      <c r="G75" s="183"/>
      <c r="I75" s="183"/>
      <c r="J75" s="183"/>
      <c r="K75" s="36"/>
      <c r="L75" s="36"/>
      <c r="M75" s="36"/>
      <c r="N75" s="36"/>
      <c r="O75" s="36"/>
      <c r="P75" s="36"/>
      <c r="Q75" s="36"/>
      <c r="R75" s="36"/>
      <c r="S75" s="36"/>
    </row>
    <row r="76" spans="1:19" outlineLevel="1" x14ac:dyDescent="0.2">
      <c r="A76" s="36"/>
      <c r="B76" s="36"/>
      <c r="C76" s="183"/>
      <c r="D76" s="36"/>
      <c r="E76" s="36"/>
      <c r="F76" s="36"/>
      <c r="G76" s="183"/>
      <c r="H76" s="183"/>
      <c r="I76" s="183"/>
      <c r="J76" s="183"/>
      <c r="K76" s="36"/>
      <c r="L76" s="36"/>
      <c r="M76" s="36"/>
      <c r="N76" s="36"/>
      <c r="O76" s="36"/>
      <c r="P76" s="36"/>
      <c r="Q76" s="36"/>
      <c r="R76" s="36"/>
      <c r="S76" s="36"/>
    </row>
    <row r="77" spans="1:19" outlineLevel="1" x14ac:dyDescent="0.2">
      <c r="A77" s="36"/>
      <c r="B77" s="36"/>
      <c r="C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</row>
    <row r="78" spans="1:19" x14ac:dyDescent="0.2">
      <c r="A78" s="36"/>
      <c r="B78" s="36"/>
      <c r="K78" s="36"/>
      <c r="L78" s="36"/>
      <c r="M78" s="36"/>
      <c r="N78" s="36"/>
      <c r="O78" s="36"/>
      <c r="P78" s="36"/>
      <c r="Q78" s="36"/>
      <c r="R78" s="36"/>
      <c r="S78" s="36"/>
    </row>
    <row r="79" spans="1:19" x14ac:dyDescent="0.2">
      <c r="A79" s="36"/>
      <c r="B79" s="36"/>
    </row>
    <row r="80" spans="1:19" x14ac:dyDescent="0.2">
      <c r="A80" s="36"/>
      <c r="B80" s="36"/>
    </row>
    <row r="81" spans="1:19" x14ac:dyDescent="0.2">
      <c r="A81" s="36"/>
      <c r="B81" s="36"/>
    </row>
    <row r="82" spans="1:19" x14ac:dyDescent="0.2">
      <c r="A82" s="36"/>
      <c r="B82" s="36"/>
    </row>
    <row r="83" spans="1:19" x14ac:dyDescent="0.2">
      <c r="A83" s="36"/>
      <c r="B83" s="36"/>
    </row>
    <row r="84" spans="1:19" x14ac:dyDescent="0.2">
      <c r="A84" s="36"/>
      <c r="B84" s="36"/>
    </row>
    <row r="85" spans="1:19" x14ac:dyDescent="0.2">
      <c r="A85" s="36"/>
      <c r="B85" s="36"/>
      <c r="D85" s="36"/>
      <c r="E85" s="36"/>
      <c r="F85" s="36"/>
    </row>
    <row r="86" spans="1:19" x14ac:dyDescent="0.2">
      <c r="A86" s="36"/>
      <c r="B86" s="36"/>
      <c r="C86" s="36"/>
      <c r="G86" s="36"/>
      <c r="H86" s="36"/>
      <c r="I86" s="36"/>
      <c r="J86" s="36"/>
    </row>
    <row r="87" spans="1:19" x14ac:dyDescent="0.2">
      <c r="A87" s="36"/>
      <c r="B87" s="36"/>
      <c r="K87" s="36"/>
      <c r="L87" s="36"/>
      <c r="M87" s="36"/>
      <c r="N87" s="36"/>
      <c r="O87" s="36"/>
      <c r="P87" s="36"/>
      <c r="Q87" s="36"/>
      <c r="R87" s="36"/>
      <c r="S87" s="36"/>
    </row>
    <row r="91" spans="1:19" x14ac:dyDescent="0.2">
      <c r="D91" s="36"/>
      <c r="E91" s="36"/>
      <c r="F91" s="36"/>
    </row>
    <row r="92" spans="1:19" x14ac:dyDescent="0.2">
      <c r="C92" s="36" t="s">
        <v>145</v>
      </c>
      <c r="D92" s="36"/>
      <c r="E92" s="36"/>
      <c r="F92" s="36"/>
      <c r="G92" s="36"/>
      <c r="H92" s="36"/>
      <c r="I92" s="36"/>
      <c r="J92" s="36"/>
    </row>
    <row r="93" spans="1:19" x14ac:dyDescent="0.2">
      <c r="C93" s="36" t="s">
        <v>146</v>
      </c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</row>
    <row r="94" spans="1:19" x14ac:dyDescent="0.2">
      <c r="C94" s="36" t="s">
        <v>147</v>
      </c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</row>
    <row r="95" spans="1:19" x14ac:dyDescent="0.2">
      <c r="C95" s="36" t="s">
        <v>148</v>
      </c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</row>
    <row r="96" spans="1:19" x14ac:dyDescent="0.2">
      <c r="C96" s="36" t="s">
        <v>149</v>
      </c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</row>
    <row r="97" spans="3:19" x14ac:dyDescent="0.2">
      <c r="C97" s="36" t="s">
        <v>150</v>
      </c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</row>
    <row r="98" spans="3:19" x14ac:dyDescent="0.2">
      <c r="C98" s="36" t="s">
        <v>151</v>
      </c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</row>
    <row r="99" spans="3:19" x14ac:dyDescent="0.2">
      <c r="C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</row>
    <row r="100" spans="3:19" x14ac:dyDescent="0.2">
      <c r="K100" s="36"/>
      <c r="L100" s="36"/>
      <c r="M100" s="36"/>
      <c r="N100" s="36"/>
      <c r="O100" s="36"/>
      <c r="P100" s="36"/>
      <c r="Q100" s="36"/>
      <c r="R100" s="36"/>
      <c r="S100" s="36"/>
    </row>
  </sheetData>
  <sheetProtection algorithmName="SHA-512" hashValue="u1LCfOW40e1+QnNJaLVNiR9cyzUlbvwxJz15forgLasH/9rr0xmScq+olh5uqTYE2xoShjeEaO7i+mI9CshcKA==" saltValue="9K4oJ94mkg2O/sP4v0TbbA==" spinCount="100000" sheet="1" objects="1" scenarios="1"/>
  <mergeCells count="1">
    <mergeCell ref="C4:P4"/>
  </mergeCells>
  <pageMargins left="0.75" right="0.75" top="1" bottom="1" header="0.5" footer="0.5"/>
  <pageSetup scale="53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590E38BA88A341A77346E9093137D6" ma:contentTypeVersion="5" ma:contentTypeDescription="Create a new document." ma:contentTypeScope="" ma:versionID="0576f738af7c221934faeea39dfce578">
  <xsd:schema xmlns:xsd="http://www.w3.org/2001/XMLSchema" xmlns:xs="http://www.w3.org/2001/XMLSchema" xmlns:p="http://schemas.microsoft.com/office/2006/metadata/properties" xmlns:ns2="7f000ab9-6d3a-4dcc-9dce-52095c2d84c5" xmlns:ns3="5d610ecf-d86f-4bec-92bc-047c515232c3" targetNamespace="http://schemas.microsoft.com/office/2006/metadata/properties" ma:root="true" ma:fieldsID="f1552310b3a22f256ba9f39710c62479" ns2:_="" ns3:_="">
    <xsd:import namespace="7f000ab9-6d3a-4dcc-9dce-52095c2d84c5"/>
    <xsd:import namespace="5d610ecf-d86f-4bec-92bc-047c515232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00ab9-6d3a-4dcc-9dce-52095c2d8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610ecf-d86f-4bec-92bc-047c515232c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54F43A-7694-438D-8957-E070050E577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f000ab9-6d3a-4dcc-9dce-52095c2d84c5"/>
    <ds:schemaRef ds:uri="http://purl.org/dc/elements/1.1/"/>
    <ds:schemaRef ds:uri="http://schemas.microsoft.com/office/2006/metadata/properties"/>
    <ds:schemaRef ds:uri="5d610ecf-d86f-4bec-92bc-047c515232c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0AD3CEB-A60E-4C95-ADCF-091CE08677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ACE09A-1731-4A53-9DDB-94ECEE202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000ab9-6d3a-4dcc-9dce-52095c2d84c5"/>
    <ds:schemaRef ds:uri="5d610ecf-d86f-4bec-92bc-047c515232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22</vt:i4>
      </vt:variant>
    </vt:vector>
  </HeadingPairs>
  <TitlesOfParts>
    <vt:vector size="24" baseType="lpstr">
      <vt:lpstr>ERV</vt:lpstr>
      <vt:lpstr>ERV Cool &amp; Heat </vt:lpstr>
      <vt:lpstr>Aux_Power</vt:lpstr>
      <vt:lpstr>Basis_kWperTon</vt:lpstr>
      <vt:lpstr>BES</vt:lpstr>
      <vt:lpstr>Calc_NTER</vt:lpstr>
      <vt:lpstr>ERV_EER</vt:lpstr>
      <vt:lpstr>ERV_Inc</vt:lpstr>
      <vt:lpstr>ERV_kWh</vt:lpstr>
      <vt:lpstr>ERV_SkW</vt:lpstr>
      <vt:lpstr>ERV_WkW</vt:lpstr>
      <vt:lpstr>Exh_Cool_Enthalpy</vt:lpstr>
      <vt:lpstr>Fan_Eff</vt:lpstr>
      <vt:lpstr>Filter_PD</vt:lpstr>
      <vt:lpstr>MIN_NTER</vt:lpstr>
      <vt:lpstr>Motor_Eff</vt:lpstr>
      <vt:lpstr>Out_Air_Flow</vt:lpstr>
      <vt:lpstr>Out_Cool_Enthalpy</vt:lpstr>
      <vt:lpstr>Out_lbs_per_hr</vt:lpstr>
      <vt:lpstr>ERV!Print_Area</vt:lpstr>
      <vt:lpstr>'ERV Cool &amp; Heat '!Print_Area</vt:lpstr>
      <vt:lpstr>Unit_Airflow_Rating</vt:lpstr>
      <vt:lpstr>Unit_Cooling_NTER</vt:lpstr>
      <vt:lpstr>Unit_Pressure_Drop</vt:lpstr>
    </vt:vector>
  </TitlesOfParts>
  <Manager/>
  <Company>NexteraEnergy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Gans, Oscar</dc:creator>
  <cp:keywords/>
  <dc:description/>
  <cp:lastModifiedBy>Jones, Joseph</cp:lastModifiedBy>
  <cp:revision/>
  <dcterms:created xsi:type="dcterms:W3CDTF">2021-11-22T14:50:48Z</dcterms:created>
  <dcterms:modified xsi:type="dcterms:W3CDTF">2023-09-22T01:57:47Z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0x010100BF590E38BA88A341A77346E9093137D6</vt:lpwstr>
  </property>
</Properties>
</file>