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nee-my.sharepoint.com/personal/kxm09wd_fpl_com/Documents/Desktop/"/>
    </mc:Choice>
  </mc:AlternateContent>
  <xr:revisionPtr revIDLastSave="0" documentId="8_{24B76D0F-94FB-4B56-9D05-65CC66056F48}" xr6:coauthVersionLast="47" xr6:coauthVersionMax="47" xr10:uidLastSave="{00000000-0000-0000-0000-000000000000}"/>
  <bookViews>
    <workbookView xWindow="-110" yWindow="-110" windowWidth="19420" windowHeight="10300" tabRatio="727" xr2:uid="{00000000-000D-0000-FFFF-FFFF00000000}"/>
  </bookViews>
  <sheets>
    <sheet name="DXAC Prog and Lookup" sheetId="143" r:id="rId1"/>
    <sheet name="ASHRAE Std 90.1" sheetId="147" state="hidden" r:id="rId2"/>
    <sheet name="Vlocity Matrices" sheetId="149" state="hidden" r:id="rId3"/>
    <sheet name="Revisions" sheetId="148" state="hidden" r:id="rId4"/>
    <sheet name="Test 1" sheetId="152" state="hidden" r:id="rId5"/>
    <sheet name="Test 2 04112025" sheetId="153" state="hidden" r:id="rId6"/>
  </sheets>
  <externalReferences>
    <externalReference r:id="rId7"/>
  </externalReferences>
  <definedNames>
    <definedName name="Base_Efficiency_EER" localSheetId="4">'[1]DXAC Prog and Lookup'!$D$46</definedName>
    <definedName name="Base_Efficiency_EER" localSheetId="5">'[1]DXAC Prog and Lookup'!$D$46</definedName>
    <definedName name="Base_Efficiency_EER">'DXAC Prog and Lookup'!$D$46</definedName>
    <definedName name="Base_IEER_to_EER_Factor_more_than_65_Mbtuh" localSheetId="4">'[1]DXAC Prog and Lookup'!#REF!</definedName>
    <definedName name="Base_IEER_to_EER_Factor_more_than_65_Mbtuh" localSheetId="5">'[1]DXAC Prog and Lookup'!#REF!</definedName>
    <definedName name="Base_IEER_to_EER_Factor_more_than_65_Mbtuh">'DXAC Prog and Lookup'!#REF!</definedName>
    <definedName name="BES">'DXAC Prog and Lookup'!$D$22</definedName>
    <definedName name="BES_Factor" localSheetId="4">'[1]DXAC Prog and Lookup'!$D$22</definedName>
    <definedName name="BES_Factor" localSheetId="5">'[1]DXAC Prog and Lookup'!$D$22</definedName>
    <definedName name="BES_Factor">'DXAC Prog and Lookup'!$D$22</definedName>
    <definedName name="Calculated_Base_Efficiency" localSheetId="4">'[1]DXAC Prog and Lookup'!$D$41</definedName>
    <definedName name="Calculated_Base_Efficiency" localSheetId="5">'[1]DXAC Prog and Lookup'!$D$41</definedName>
    <definedName name="Calculated_Base_Efficiency">'DXAC Prog and Lookup'!$D$41</definedName>
    <definedName name="Calculated_New_Efficiency" localSheetId="4">'[1]DXAC Prog and Lookup'!$D$42</definedName>
    <definedName name="Calculated_New_Efficiency" localSheetId="5">'[1]DXAC Prog and Lookup'!$D$42</definedName>
    <definedName name="Calculated_New_Efficiency">'DXAC Prog and Lookup'!$D$42</definedName>
    <definedName name="Capacity_135_Mbtuh" localSheetId="4">'[1]DXAC Prog and Lookup'!$D$15</definedName>
    <definedName name="Capacity_135_Mbtuh" localSheetId="5">'[1]DXAC Prog and Lookup'!$D$15</definedName>
    <definedName name="Capacity_135_Mbtuh">'DXAC Prog and Lookup'!$D$15</definedName>
    <definedName name="Capacity_240_Mbtuh" localSheetId="4">'[1]DXAC Prog and Lookup'!$D$16</definedName>
    <definedName name="Capacity_240_Mbtuh" localSheetId="5">'[1]DXAC Prog and Lookup'!$D$16</definedName>
    <definedName name="Capacity_240_Mbtuh">'DXAC Prog and Lookup'!$D$16</definedName>
    <definedName name="Capacity_65_Mbtuh" localSheetId="4">'[1]DXAC Prog and Lookup'!$D$14</definedName>
    <definedName name="Capacity_65_Mbtuh" localSheetId="5">'[1]DXAC Prog and Lookup'!$D$14</definedName>
    <definedName name="Capacity_65_Mbtuh">'DXAC Prog and Lookup'!$D$14</definedName>
    <definedName name="Capacity_760_Mbtuh" localSheetId="4">'[1]DXAC Prog and Lookup'!$D$17</definedName>
    <definedName name="Capacity_760_Mbtuh" localSheetId="5">'[1]DXAC Prog and Lookup'!$D$17</definedName>
    <definedName name="Capacity_760_Mbtuh">'DXAC Prog and Lookup'!$D$17</definedName>
    <definedName name="DX_Inc" localSheetId="4">'[1]DXAC Prog and Lookup'!$D$18</definedName>
    <definedName name="DX_Inc" localSheetId="5">'[1]DXAC Prog and Lookup'!$D$18</definedName>
    <definedName name="DX_Inc">'DXAC Prog and Lookup'!$D$18</definedName>
    <definedName name="DX_kW_Incent_Table" localSheetId="4">'[1]DXAC Prog and Lookup'!$B$85:$AB$109</definedName>
    <definedName name="DX_kW_Incent_Table" localSheetId="5">'[1]DXAC Prog and Lookup'!$B$85:$AB$109</definedName>
    <definedName name="DX_kW_Incent_Table">'DXAC Prog and Lookup'!$B$85:$AB$109</definedName>
    <definedName name="DX_kWh" localSheetId="4">'[1]DXAC Prog and Lookup'!$D$29</definedName>
    <definedName name="DX_kWh" localSheetId="5">'[1]DXAC Prog and Lookup'!$D$29</definedName>
    <definedName name="DX_kWh">'DXAC Prog and Lookup'!$D$29</definedName>
    <definedName name="DX_SkW">'DXAC Prog and Lookup'!$D$27</definedName>
    <definedName name="DX_WkW">'DXAC Prog and Lookup'!$D$28</definedName>
    <definedName name="EER" localSheetId="4">'[1]DXAC Prog and Lookup'!$P$34</definedName>
    <definedName name="EER" localSheetId="5">'[1]DXAC Prog and Lookup'!$P$34</definedName>
    <definedName name="EER">'DXAC Prog and Lookup'!$P$34</definedName>
    <definedName name="EER2_" localSheetId="4">'[1]DXAC Prog and Lookup'!$P$38</definedName>
    <definedName name="EER2_" localSheetId="5">'[1]DXAC Prog and Lookup'!$P$38</definedName>
    <definedName name="EER2_">'DXAC Prog and Lookup'!$P$38</definedName>
    <definedName name="Efficiency_Rating" localSheetId="4">'[1]DXAC Prog and Lookup'!$D$46</definedName>
    <definedName name="Efficiency_Rating" localSheetId="5">'[1]DXAC Prog and Lookup'!$D$46</definedName>
    <definedName name="Efficiency_Rating">'DXAC Prog and Lookup'!$D$46</definedName>
    <definedName name="FPL_Rebate">'DXAC Prog and Lookup'!$D$18</definedName>
    <definedName name="Heat_Pump" localSheetId="4">'[1]DXAC Prog and Lookup'!$D$47</definedName>
    <definedName name="Heat_Pump" localSheetId="5">'[1]DXAC Prog and Lookup'!$D$47</definedName>
    <definedName name="Heat_Pump">'DXAC Prog and Lookup'!$D$47</definedName>
    <definedName name="IEER" localSheetId="4">'[1]DXAC Prog and Lookup'!$P$36</definedName>
    <definedName name="IEER" localSheetId="5">'[1]DXAC Prog and Lookup'!$P$36</definedName>
    <definedName name="IEER">'DXAC Prog and Lookup'!$P$36</definedName>
    <definedName name="IEER_Factor_greater_than_65_Mbtuh" localSheetId="4">'[1]DXAC Prog and Lookup'!$D$26</definedName>
    <definedName name="IEER_Factor_greater_than_65_Mbtuh" localSheetId="5">'[1]DXAC Prog and Lookup'!$D$26</definedName>
    <definedName name="IEER_Factor_greater_than_65_Mbtuh">'DXAC Prog and Lookup'!$D$26</definedName>
    <definedName name="IEER2" localSheetId="4">'[1]DXAC Prog and Lookup'!$P$39</definedName>
    <definedName name="IEER2" localSheetId="5">'[1]DXAC Prog and Lookup'!$P$39</definedName>
    <definedName name="IEER2">'DXAC Prog and Lookup'!$P$39</definedName>
    <definedName name="KW_reduction_at_meter" localSheetId="4">'[1]DXAC Prog and Lookup'!$E$55</definedName>
    <definedName name="KW_reduction_at_meter" localSheetId="5">'[1]DXAC Prog and Lookup'!$E$55</definedName>
    <definedName name="KW_reduction_at_meter">'DXAC Prog and Lookup'!$E$55</definedName>
    <definedName name="kWh_Factor">'DXAC Prog and Lookup'!$D$29</definedName>
    <definedName name="kWh_reduction__KWH" localSheetId="4">'[1]DXAC Prog and Lookup'!$E$58</definedName>
    <definedName name="kWh_reduction__KWH" localSheetId="5">'[1]DXAC Prog and Lookup'!$E$58</definedName>
    <definedName name="kWh_reduction__KWH">'DXAC Prog and Lookup'!$E$58</definedName>
    <definedName name="Min_EER2_135_240" localSheetId="4">'[1]DXAC Prog and Lookup'!$D$11</definedName>
    <definedName name="Min_EER2_135_240" localSheetId="5">'[1]DXAC Prog and Lookup'!$D$11</definedName>
    <definedName name="Min_EER2_135_240">'DXAC Prog and Lookup'!$D$11</definedName>
    <definedName name="Min_EER2_240_760" localSheetId="4">'[1]DXAC Prog and Lookup'!$D$12</definedName>
    <definedName name="Min_EER2_240_760" localSheetId="5">'[1]DXAC Prog and Lookup'!$D$12</definedName>
    <definedName name="Min_EER2_240_760">'DXAC Prog and Lookup'!$D$12</definedName>
    <definedName name="Min_EER2_65_135" localSheetId="4">'[1]DXAC Prog and Lookup'!$D$10</definedName>
    <definedName name="Min_EER2_65_135" localSheetId="5">'[1]DXAC Prog and Lookup'!$D$10</definedName>
    <definedName name="Min_EER2_65_135">'DXAC Prog and Lookup'!$D$10</definedName>
    <definedName name="MIN_EER2_760" localSheetId="4">'[1]DXAC Prog and Lookup'!$D$13</definedName>
    <definedName name="MIN_EER2_760" localSheetId="5">'[1]DXAC Prog and Lookup'!$D$13</definedName>
    <definedName name="MIN_EER2_760">'DXAC Prog and Lookup'!$D$13</definedName>
    <definedName name="Min_SEER2_65" localSheetId="4">'[1]DXAC Prog and Lookup'!$D$8</definedName>
    <definedName name="Min_SEER2_65" localSheetId="5">'[1]DXAC Prog and Lookup'!$D$8</definedName>
    <definedName name="Min_SEER2_65">'DXAC Prog and Lookup'!$D$8</definedName>
    <definedName name="New_EER_SEER2_IEER" localSheetId="4">'[1]DXAC Prog and Lookup'!$D$50</definedName>
    <definedName name="New_EER_SEER2_IEER" localSheetId="5">'[1]DXAC Prog and Lookup'!$D$50</definedName>
    <definedName name="New_EER_SEER2_IEER">'DXAC Prog and Lookup'!$D$50</definedName>
    <definedName name="New_IEER_to_EER_Factor_more_than_65_Mbtuh" localSheetId="4">'[1]DXAC Prog and Lookup'!#REF!</definedName>
    <definedName name="New_IEER_to_EER_Factor_more_than_65_Mbtuh" localSheetId="5">'[1]DXAC Prog and Lookup'!#REF!</definedName>
    <definedName name="New_IEER_to_EER_Factor_more_than_65_Mbtuh">'DXAC Prog and Lookup'!#REF!</definedName>
    <definedName name="Rebate_amount" localSheetId="4">'[1]DXAC Prog and Lookup'!$E$59</definedName>
    <definedName name="Rebate_amount" localSheetId="5">'[1]DXAC Prog and Lookup'!$E$59</definedName>
    <definedName name="Rebate_amount">'DXAC Prog and Lookup'!$E$59</definedName>
    <definedName name="SEER" localSheetId="4">'[1]DXAC Prog and Lookup'!$P$37</definedName>
    <definedName name="SEER" localSheetId="5">'[1]DXAC Prog and Lookup'!$P$37</definedName>
    <definedName name="SEER">'DXAC Prog and Lookup'!$P$37</definedName>
    <definedName name="SEER_Factor" localSheetId="4">'[1]DXAC Prog and Lookup'!$D$23</definedName>
    <definedName name="SEER_Factor" localSheetId="5">'[1]DXAC Prog and Lookup'!$D$23</definedName>
    <definedName name="SEER_Factor">'DXAC Prog and Lookup'!$D$23</definedName>
    <definedName name="SEER2" localSheetId="4">'[1]DXAC Prog and Lookup'!$P$35</definedName>
    <definedName name="SEER2" localSheetId="5">'[1]DXAC Prog and Lookup'!$P$35</definedName>
    <definedName name="SEER2">'DXAC Prog and Lookup'!$P$35</definedName>
    <definedName name="SEER2_Factor_less_than_65_Mbtuh">'DXAC Prog and Lookup'!$D$23</definedName>
    <definedName name="Summer_kW_Factor" localSheetId="4">'[1]DXAC Prog and Lookup'!$D$27</definedName>
    <definedName name="Summer_kW_Factor" localSheetId="5">'[1]DXAC Prog and Lookup'!$D$27</definedName>
    <definedName name="Summer_kW_Factor">'DXAC Prog and Lookup'!$D$27</definedName>
    <definedName name="Summer_KW_reduction__SKW" localSheetId="4">'[1]DXAC Prog and Lookup'!$E$56</definedName>
    <definedName name="Summer_KW_reduction__SKW" localSheetId="5">'[1]DXAC Prog and Lookup'!$E$56</definedName>
    <definedName name="Summer_KW_reduction__SKW">'DXAC Prog and Lookup'!$E$56</definedName>
    <definedName name="System_Capacity__Mbtuh" localSheetId="4">'[1]DXAC Prog and Lookup'!$D$49</definedName>
    <definedName name="System_Capacity__Mbtuh" localSheetId="5">'[1]DXAC Prog and Lookup'!$D$49</definedName>
    <definedName name="System_Capacity__Mbtuh">'DXAC Prog and Lookup'!$D$49</definedName>
    <definedName name="Water_Cooled" localSheetId="4">'[1]DXAC Prog and Lookup'!$D$48</definedName>
    <definedName name="Water_Cooled" localSheetId="5">'[1]DXAC Prog and Lookup'!$D$48</definedName>
    <definedName name="Water_Cooled">'DXAC Prog and Lookup'!$D$48</definedName>
    <definedName name="Water_Cooled_Weighted_Average" localSheetId="4">'[1]DXAC Prog and Lookup'!$D$30</definedName>
    <definedName name="Water_Cooled_Weighted_Average" localSheetId="5">'[1]DXAC Prog and Lookup'!$D$30</definedName>
    <definedName name="Water_Cooled_Weighted_Average">'DXAC Prog and Lookup'!$D$30</definedName>
    <definedName name="Winter_kW_Factor" localSheetId="4">'[1]DXAC Prog and Lookup'!$D$28</definedName>
    <definedName name="Winter_kW_Factor" localSheetId="5">'[1]DXAC Prog and Lookup'!$D$28</definedName>
    <definedName name="Winter_kW_Factor">'DXAC Prog and Lookup'!$D$28</definedName>
    <definedName name="Winter_KW_reduction__WKW" localSheetId="4">'[1]DXAC Prog and Lookup'!$E$57</definedName>
    <definedName name="Winter_KW_reduction__WKW" localSheetId="5">'[1]DXAC Prog and Lookup'!$E$57</definedName>
    <definedName name="Winter_KW_reduction__WKW">'DXAC Prog and Lookup'!$E$57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43" l="1"/>
  <c r="D39" i="143" s="1"/>
  <c r="D42" i="143"/>
  <c r="D37" i="143"/>
  <c r="D36" i="143"/>
  <c r="E9" i="143" l="1"/>
  <c r="K13" i="149"/>
  <c r="I12" i="149"/>
  <c r="I16" i="149"/>
  <c r="I15" i="149"/>
  <c r="I14" i="149"/>
  <c r="I13" i="149"/>
  <c r="H17" i="149"/>
  <c r="H12" i="149"/>
  <c r="I17" i="149" l="1"/>
  <c r="D38" i="143"/>
  <c r="I28" i="149"/>
  <c r="I23" i="149"/>
  <c r="F9" i="143" l="1"/>
  <c r="I10" i="143"/>
  <c r="I11" i="143"/>
  <c r="K32" i="149"/>
  <c r="I32" i="149"/>
  <c r="K31" i="149"/>
  <c r="I31" i="149"/>
  <c r="K30" i="149"/>
  <c r="I30" i="149"/>
  <c r="K29" i="149"/>
  <c r="I29" i="149"/>
  <c r="H28" i="149"/>
  <c r="K27" i="149"/>
  <c r="I27" i="149"/>
  <c r="K26" i="149"/>
  <c r="I26" i="149"/>
  <c r="K25" i="149"/>
  <c r="I25" i="149"/>
  <c r="K24" i="149"/>
  <c r="I24" i="149"/>
  <c r="H23" i="149"/>
  <c r="K21" i="149"/>
  <c r="I21" i="149"/>
  <c r="K20" i="149"/>
  <c r="I20" i="149"/>
  <c r="K19" i="149"/>
  <c r="I19" i="149"/>
  <c r="K18" i="149"/>
  <c r="I18" i="149"/>
  <c r="K16" i="149"/>
  <c r="K15" i="149"/>
  <c r="K14" i="149"/>
  <c r="C32" i="147"/>
  <c r="G9" i="143" l="1"/>
  <c r="M14" i="147"/>
  <c r="M5" i="147"/>
  <c r="G5" i="147"/>
  <c r="M13" i="147"/>
  <c r="M12" i="147"/>
  <c r="M11" i="147"/>
  <c r="M10" i="147"/>
  <c r="M9" i="147"/>
  <c r="M8" i="147"/>
  <c r="M7" i="147"/>
  <c r="M6" i="147"/>
  <c r="L10" i="143" l="1"/>
  <c r="M10" i="143" s="1"/>
  <c r="K10" i="143"/>
  <c r="L13" i="143" l="1"/>
  <c r="M13" i="143" s="1"/>
  <c r="L12" i="143"/>
  <c r="M12" i="143" s="1"/>
  <c r="L11" i="143"/>
  <c r="M11" i="143" s="1"/>
  <c r="C81" i="147"/>
  <c r="C80" i="147"/>
  <c r="C79" i="147"/>
  <c r="C78" i="147"/>
  <c r="C77" i="147"/>
  <c r="C76" i="147"/>
  <c r="C75" i="147"/>
  <c r="C74" i="147"/>
  <c r="C73" i="147"/>
  <c r="C72" i="147"/>
  <c r="C71" i="147"/>
  <c r="C70" i="147"/>
  <c r="C69" i="147"/>
  <c r="C68" i="147"/>
  <c r="C67" i="147"/>
  <c r="C46" i="147"/>
  <c r="C47" i="147"/>
  <c r="C48" i="147"/>
  <c r="C49" i="147"/>
  <c r="C50" i="147"/>
  <c r="C51" i="147"/>
  <c r="C52" i="147"/>
  <c r="C53" i="147"/>
  <c r="C54" i="147"/>
  <c r="C55" i="147"/>
  <c r="C56" i="147"/>
  <c r="C57" i="147"/>
  <c r="C58" i="147"/>
  <c r="C59" i="147"/>
  <c r="C60" i="147"/>
  <c r="C61" i="147"/>
  <c r="C62" i="147"/>
  <c r="C63" i="147"/>
  <c r="C45" i="147"/>
  <c r="C64" i="147" s="1"/>
  <c r="D40" i="143"/>
  <c r="K11" i="143"/>
  <c r="K12" i="143"/>
  <c r="K13" i="143"/>
  <c r="Q41" i="143" l="1"/>
  <c r="D24" i="143" s="1"/>
  <c r="F8" i="143" s="1"/>
  <c r="G8" i="143" s="1"/>
  <c r="D64" i="147"/>
  <c r="I13" i="143"/>
  <c r="C82" i="147"/>
  <c r="I12" i="143"/>
  <c r="D35" i="143" s="1"/>
  <c r="D41" i="143" s="1"/>
  <c r="D82" i="147" l="1"/>
  <c r="Q42" i="143"/>
  <c r="G20" i="147" l="1"/>
  <c r="G22" i="147"/>
  <c r="G23" i="147"/>
  <c r="G24" i="147"/>
  <c r="G25" i="147"/>
  <c r="G26" i="147"/>
  <c r="G21" i="147"/>
  <c r="G7" i="147"/>
  <c r="G8" i="147"/>
  <c r="G9" i="147"/>
  <c r="G10" i="147"/>
  <c r="G11" i="147"/>
  <c r="G12" i="147"/>
  <c r="G13" i="147"/>
  <c r="G6" i="147"/>
  <c r="I9" i="147" l="1"/>
  <c r="I24" i="147"/>
  <c r="K16" i="147" l="1"/>
  <c r="D110" i="143" l="1"/>
  <c r="P75" i="143" l="1"/>
  <c r="S75" i="143"/>
  <c r="V75" i="143"/>
  <c r="Y75" i="143"/>
  <c r="AB75" i="143"/>
  <c r="N113" i="143"/>
  <c r="W112" i="143"/>
  <c r="Q113" i="143"/>
  <c r="Q112" i="143"/>
  <c r="W113" i="143"/>
  <c r="Z113" i="143"/>
  <c r="Z112" i="143"/>
  <c r="T113" i="143"/>
  <c r="N112" i="143" l="1"/>
  <c r="T112" i="143"/>
  <c r="D111" i="143" l="1"/>
  <c r="E8" i="143"/>
  <c r="D43" i="143" l="1"/>
  <c r="D55" i="143" s="1"/>
  <c r="D58" i="143" l="1"/>
  <c r="H58" i="143"/>
  <c r="G58" i="143"/>
  <c r="E55" i="143"/>
  <c r="D57" i="143" l="1"/>
  <c r="D56" i="143"/>
  <c r="D59" i="143" s="1"/>
  <c r="I58" i="143"/>
  <c r="E57" i="143"/>
  <c r="R58" i="143"/>
  <c r="E56" i="143"/>
  <c r="E59" i="143" s="1"/>
  <c r="I62" i="143" s="1"/>
  <c r="H59" i="143"/>
  <c r="I60" i="143" l="1"/>
  <c r="E58" i="143"/>
  <c r="I59" i="143"/>
  <c r="I61" i="143" l="1"/>
  <c r="R59" i="1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 Chi</author>
    <author>LSN0HTR</author>
    <author>tc={56CB44BC-B252-4E27-B00C-A339A70B0A85}</author>
    <author>tc={2E2E9196-6E8E-48CD-9734-6D3589240289}</author>
    <author>tc={5D28334E-E15A-4732-BA91-2E80B69D24CE}</author>
    <author>tc={7E43906B-3087-4FA8-B720-5CF0837DAB23}</author>
  </authors>
  <commentList>
    <comment ref="D6" authorId="0" shapeId="0" xr:uid="{05168839-7FAC-4D08-862B-10CED4E833FB}">
      <text>
        <r>
          <rPr>
            <b/>
            <sz val="9"/>
            <color indexed="81"/>
            <rFont val="Tahoma"/>
            <family val="2"/>
          </rPr>
          <t>Lui, Chi:</t>
        </r>
        <r>
          <rPr>
            <sz val="9"/>
            <color indexed="81"/>
            <rFont val="Tahoma"/>
            <family val="2"/>
          </rPr>
          <t xml:space="preserve">
Added factor, new effiiency must be better by 7%
</t>
        </r>
      </text>
    </comment>
    <comment ref="J10" authorId="0" shapeId="0" xr:uid="{E0FC0C22-6069-4903-8936-4A2EF5B5E395}">
      <text>
        <r>
          <rPr>
            <b/>
            <sz val="9"/>
            <color indexed="81"/>
            <rFont val="Tahoma"/>
            <family val="2"/>
          </rPr>
          <t>Lui, Chi:</t>
        </r>
        <r>
          <rPr>
            <sz val="9"/>
            <color indexed="81"/>
            <rFont val="Tahoma"/>
            <family val="2"/>
          </rPr>
          <t xml:space="preserve">
Added IEER Baseline</t>
        </r>
      </text>
    </comment>
    <comment ref="D24" authorId="0" shapeId="0" xr:uid="{20E4B17E-6B71-438E-8E72-8F2285F5B096}">
      <text>
        <r>
          <rPr>
            <b/>
            <sz val="9"/>
            <color indexed="81"/>
            <rFont val="Tahoma"/>
            <family val="2"/>
          </rPr>
          <t>Lui, Chi:</t>
        </r>
        <r>
          <rPr>
            <sz val="9"/>
            <color indexed="81"/>
            <rFont val="Tahoma"/>
            <family val="2"/>
          </rPr>
          <t xml:space="preserve">
New Factor
</t>
        </r>
      </text>
    </comment>
    <comment ref="D25" authorId="0" shapeId="0" xr:uid="{1916A63F-C867-44EE-B3B6-6533FE91C9ED}">
      <text>
        <r>
          <rPr>
            <b/>
            <sz val="9"/>
            <color indexed="81"/>
            <rFont val="Tahoma"/>
            <family val="2"/>
          </rPr>
          <t>Lui, Chi:</t>
        </r>
        <r>
          <rPr>
            <sz val="9"/>
            <color indexed="81"/>
            <rFont val="Tahoma"/>
            <family val="2"/>
          </rPr>
          <t xml:space="preserve">
New Factor
=1/0.959</t>
        </r>
      </text>
    </comment>
    <comment ref="D26" authorId="0" shapeId="0" xr:uid="{0B82FAE2-D7FE-48BC-A2B0-432D62AD225F}">
      <text>
        <r>
          <rPr>
            <b/>
            <sz val="9"/>
            <color indexed="81"/>
            <rFont val="Tahoma"/>
            <family val="2"/>
          </rPr>
          <t>Lui, Chi:</t>
        </r>
        <r>
          <rPr>
            <sz val="9"/>
            <color indexed="81"/>
            <rFont val="Tahoma"/>
            <family val="2"/>
          </rPr>
          <t xml:space="preserve">
Changed name From New IEER to EER Factor more than 65 Mbtuh</t>
        </r>
      </text>
    </comment>
    <comment ref="D35" authorId="0" shapeId="0" xr:uid="{DD52BD21-5378-4575-83B5-6C390894D2BF}">
      <text>
        <r>
          <rPr>
            <b/>
            <sz val="9"/>
            <color indexed="81"/>
            <rFont val="Tahoma"/>
            <family val="2"/>
          </rPr>
          <t>Lui, Chi:</t>
        </r>
        <r>
          <rPr>
            <sz val="9"/>
            <color indexed="81"/>
            <rFont val="Tahoma"/>
            <family val="2"/>
          </rPr>
          <t xml:space="preserve">
Added  EER2 and IEER2 options</t>
        </r>
      </text>
    </comment>
    <comment ref="D36" authorId="0" shapeId="0" xr:uid="{96DFF4F7-1D53-4AED-B0F7-64F3807F530E}">
      <text>
        <r>
          <rPr>
            <b/>
            <sz val="9"/>
            <color indexed="81"/>
            <rFont val="Tahoma"/>
            <family val="2"/>
          </rPr>
          <t>Deleted SEER_Factor less than 65 Mbtuh from equation.
Added  EER2 and IEER2 options</t>
        </r>
      </text>
    </comment>
    <comment ref="D37" authorId="0" shapeId="0" xr:uid="{B3B765A3-BF5F-48CC-BC82-233B8F1A1625}">
      <text>
        <r>
          <rPr>
            <b/>
            <sz val="9"/>
            <color indexed="81"/>
            <rFont val="Tahoma"/>
            <family val="2"/>
          </rPr>
          <t>Lui, Chi:</t>
        </r>
        <r>
          <rPr>
            <sz val="9"/>
            <color indexed="81"/>
            <rFont val="Tahoma"/>
            <family val="2"/>
          </rPr>
          <t xml:space="preserve">
Deleted SEER_Factor less than 65 Mbtuh from equation.
Added  EER2 and IEER2 options</t>
        </r>
      </text>
    </comment>
    <comment ref="D38" authorId="0" shapeId="0" xr:uid="{523B646F-20F3-440D-9D11-F4837A6820CD}">
      <text>
        <r>
          <rPr>
            <b/>
            <sz val="9"/>
            <color indexed="81"/>
            <rFont val="Tahoma"/>
            <family val="2"/>
          </rPr>
          <t>Lui, Chi:</t>
        </r>
        <r>
          <rPr>
            <sz val="9"/>
            <color indexed="81"/>
            <rFont val="Tahoma"/>
            <family val="2"/>
          </rPr>
          <t xml:space="preserve">
Mult;iply by new IEER_IEER2 Factor greater than 65 Mbtuh
</t>
        </r>
      </text>
    </comment>
    <comment ref="C41" authorId="0" shapeId="0" xr:uid="{9E2C8B38-CCB8-4EB8-9E29-C79287DE65BE}">
      <text>
        <r>
          <rPr>
            <b/>
            <sz val="9"/>
            <color indexed="81"/>
            <rFont val="Tahoma"/>
            <family val="2"/>
          </rPr>
          <t>Lui, Chi:</t>
        </r>
        <r>
          <rPr>
            <sz val="9"/>
            <color indexed="81"/>
            <rFont val="Tahoma"/>
            <family val="2"/>
          </rPr>
          <t xml:space="preserve">
Changed name from
</t>
        </r>
      </text>
    </comment>
    <comment ref="D41" authorId="0" shapeId="0" xr:uid="{339E2192-0ED3-4491-BF0A-0A1671EC5445}">
      <text>
        <r>
          <rPr>
            <b/>
            <sz val="9"/>
            <color indexed="81"/>
            <rFont val="Tahoma"/>
            <family val="2"/>
          </rPr>
          <t>Lui, Chi:</t>
        </r>
        <r>
          <rPr>
            <sz val="9"/>
            <color indexed="81"/>
            <rFont val="Tahoma"/>
            <family val="2"/>
          </rPr>
          <t xml:space="preserve">
cahnged equiation 
</t>
        </r>
      </text>
    </comment>
    <comment ref="C50" authorId="0" shapeId="0" xr:uid="{5FF20C45-C86D-47AE-8446-C17EAEF7F5C9}">
      <text>
        <r>
          <rPr>
            <b/>
            <sz val="9"/>
            <color indexed="81"/>
            <rFont val="Tahoma"/>
            <family val="2"/>
          </rPr>
          <t>Lui, Chi:</t>
        </r>
        <r>
          <rPr>
            <sz val="9"/>
            <color indexed="81"/>
            <rFont val="Tahoma"/>
            <family val="2"/>
          </rPr>
          <t xml:space="preserve">
changed name from New EER/SEER/SEER2/IEER to New Equipment Efficiency </t>
        </r>
      </text>
    </comment>
    <comment ref="AB73" authorId="1" shapeId="0" xr:uid="{429116B9-21C9-458D-AC9E-9DC2060703E2}">
      <text>
        <r>
          <rPr>
            <b/>
            <sz val="8"/>
            <color indexed="81"/>
            <rFont val="Tahoma"/>
            <family val="2"/>
          </rPr>
          <t>LSN0HTR:</t>
        </r>
        <r>
          <rPr>
            <sz val="8"/>
            <color indexed="81"/>
            <rFont val="Tahoma"/>
            <family val="2"/>
          </rPr>
          <t xml:space="preserve">
SEER to EER Factor provided by  AHRI DATA BASE</t>
        </r>
      </text>
    </comment>
    <comment ref="P75" authorId="2" shapeId="0" xr:uid="{56CB44BC-B252-4E27-B00C-A339A70B0A85}">
      <text>
        <t>[Threaded comment]
Your version of Excel allows you to read this threaded comment; however, any edits to it will get removed if the file is opened in a newer version of Excel. Learn more: https://go.microsoft.com/fwlink/?linkid=870924
Comment:
    Baseline reduced 0.4 to accomodate the 10.0 value in the table</t>
      </text>
    </comment>
    <comment ref="S75" authorId="3" shapeId="0" xr:uid="{2E2E9196-6E8E-48CD-9734-6D3589240289}">
      <text>
        <t>[Threaded comment]
Your version of Excel allows you to read this threaded comment; however, any edits to it will get removed if the file is opened in a newer version of Excel. Learn more: https://go.microsoft.com/fwlink/?linkid=870924
Comment:
    Baseline reduced by 0.3 to accomodate the 10.5 value in the table</t>
      </text>
    </comment>
    <comment ref="V75" authorId="4" shapeId="0" xr:uid="{5D28334E-E15A-4732-BA91-2E80B69D24CE}">
      <text>
        <t>[Threaded comment]
Your version of Excel allows you to read this threaded comment; however, any edits to it will get removed if the file is opened in a newer version of Excel. Learn more: https://go.microsoft.com/fwlink/?linkid=870924
Comment:
    Baseline reduced 0.3 to accomodate the 11.5 value in the table</t>
      </text>
    </comment>
    <comment ref="AB75" authorId="5" shapeId="0" xr:uid="{7E43906B-3087-4FA8-B720-5CF0837DAB23}">
      <text>
        <t>[Threaded comment]
Your version of Excel allows you to read this threaded comment; however, any edits to it will get removed if the file is opened in a newer version of Excel. Learn more: https://go.microsoft.com/fwlink/?linkid=870924
Comment:
    Baseline reduced 0.3 to accomodate the 14.0 value in the table</t>
      </text>
    </comment>
    <comment ref="AB105" authorId="1" shapeId="0" xr:uid="{BE1E87DA-21BC-43CD-949A-A60BC3E06544}">
      <text>
        <r>
          <rPr>
            <b/>
            <sz val="9"/>
            <color indexed="81"/>
            <rFont val="Tahoma"/>
            <family val="2"/>
          </rPr>
          <t>LSN0HTR:</t>
        </r>
        <r>
          <rPr>
            <sz val="9"/>
            <color indexed="81"/>
            <rFont val="Tahoma"/>
            <family val="2"/>
          </rPr>
          <t xml:space="preserve">
kW /ton Reduction =[(12/Base SEER*.82) -(New (kW/Ton)/.82))*BES Impact Factor]*1 ton/12MBtuh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 Chi</author>
  </authors>
  <commentList>
    <comment ref="M10" authorId="0" shapeId="0" xr:uid="{86162C41-6EFB-4465-B3D0-48C7EC6CD77C}">
      <text>
        <r>
          <rPr>
            <b/>
            <sz val="9"/>
            <color indexed="81"/>
            <rFont val="Tahoma"/>
            <family val="2"/>
          </rPr>
          <t>Lui, Chi:</t>
        </r>
        <r>
          <rPr>
            <sz val="9"/>
            <color indexed="81"/>
            <rFont val="Tahoma"/>
            <family val="2"/>
          </rPr>
          <t xml:space="preserve">
SEERSEER2 changed to SEER2</t>
        </r>
      </text>
    </comment>
    <comment ref="N10" authorId="0" shapeId="0" xr:uid="{E79669BD-30CA-4AF3-B3A7-3DE209DF687B}">
      <text>
        <r>
          <rPr>
            <b/>
            <sz val="9"/>
            <color indexed="81"/>
            <rFont val="Tahoma"/>
            <family val="2"/>
          </rPr>
          <t>Lui, Chi:</t>
        </r>
        <r>
          <rPr>
            <sz val="9"/>
            <color indexed="81"/>
            <rFont val="Tahoma"/>
            <family val="2"/>
          </rPr>
          <t xml:space="preserve">
Changed from SEER2 to SEER</t>
        </r>
      </text>
    </comment>
    <comment ref="O10" authorId="0" shapeId="0" xr:uid="{8BE3C30E-92F4-4738-AB6F-4322A13D7CF8}">
      <text>
        <r>
          <rPr>
            <b/>
            <sz val="9"/>
            <color indexed="81"/>
            <rFont val="Tahoma"/>
            <family val="2"/>
          </rPr>
          <t>Lui, Chi:</t>
        </r>
        <r>
          <rPr>
            <sz val="9"/>
            <color indexed="81"/>
            <rFont val="Tahoma"/>
            <family val="2"/>
          </rPr>
          <t xml:space="preserve">
New Column Heat pump factor
</t>
        </r>
      </text>
    </comment>
  </commentList>
</comments>
</file>

<file path=xl/sharedStrings.xml><?xml version="1.0" encoding="utf-8"?>
<sst xmlns="http://schemas.openxmlformats.org/spreadsheetml/2006/main" count="868" uniqueCount="322">
  <si>
    <t>Program Manager Inputs - Part of Vlocity Matrices</t>
  </si>
  <si>
    <t>Program Specialist Inputs/Selections</t>
  </si>
  <si>
    <t>Backend Calculation Formulas</t>
  </si>
  <si>
    <t>DX Program Level Inputs</t>
  </si>
  <si>
    <t>Qualifier factor - x% better than MinQual</t>
  </si>
  <si>
    <t>Qualifier</t>
  </si>
  <si>
    <t>Base</t>
  </si>
  <si>
    <t>(S)EER2 Base</t>
  </si>
  <si>
    <t>(S)EER2</t>
  </si>
  <si>
    <t>SEER</t>
  </si>
  <si>
    <t>EER</t>
  </si>
  <si>
    <t>IEER2</t>
  </si>
  <si>
    <t>IEER</t>
  </si>
  <si>
    <t>Minimum Qualified Efficiency for less than 65 Mbtuh</t>
  </si>
  <si>
    <t>Min_EER_65</t>
  </si>
  <si>
    <t>Fundamental base equation:</t>
  </si>
  <si>
    <t>Minimum Qualified Efficiency for 65 ≤ MBtuh &lt; 135</t>
  </si>
  <si>
    <t>Min_EER_65_135</t>
  </si>
  <si>
    <r>
      <t>kW</t>
    </r>
    <r>
      <rPr>
        <vertAlign val="subscript"/>
        <sz val="14"/>
        <color theme="1"/>
        <rFont val="Calibri"/>
        <family val="2"/>
        <scheme val="minor"/>
      </rPr>
      <t xml:space="preserve">at the meter </t>
    </r>
    <r>
      <rPr>
        <sz val="14"/>
        <color theme="1"/>
        <rFont val="Calibri"/>
        <family val="2"/>
        <scheme val="minor"/>
      </rPr>
      <t xml:space="preserve">= </t>
    </r>
  </si>
  <si>
    <t>(Unit Capacity Mbtuh/12 * (12/EERbase – 12/EERnew)) * BES Factor</t>
  </si>
  <si>
    <t xml:space="preserve">Minimum Qualified Efficiency for 135 ≤  MBtuh &lt; 240 </t>
  </si>
  <si>
    <t>Min_EER_135_240</t>
  </si>
  <si>
    <t xml:space="preserve">Unit Capacity Mbtuh/12: </t>
  </si>
  <si>
    <t>Conversion Mbtuh to Ton</t>
  </si>
  <si>
    <t xml:space="preserve">Minimum Qualified Efficiency for 240 ≤ MBtuh &lt; 760 </t>
  </si>
  <si>
    <t>Min_EER_240_760</t>
  </si>
  <si>
    <r>
      <t>12/EER</t>
    </r>
    <r>
      <rPr>
        <vertAlign val="subscript"/>
        <sz val="14"/>
        <color theme="1"/>
        <rFont val="Calibri"/>
        <family val="2"/>
        <scheme val="minor"/>
      </rPr>
      <t>base</t>
    </r>
    <r>
      <rPr>
        <sz val="14"/>
        <color theme="1"/>
        <rFont val="Calibri"/>
        <family val="2"/>
        <scheme val="minor"/>
      </rPr>
      <t xml:space="preserve">: </t>
    </r>
  </si>
  <si>
    <t>Conversion EE_SEER2_IEER to KW/Ton</t>
  </si>
  <si>
    <t>Minimum Qualified Efficiency for MBtuh  ≥ 760</t>
  </si>
  <si>
    <t>MIN_EER_760</t>
  </si>
  <si>
    <r>
      <t>12/EER</t>
    </r>
    <r>
      <rPr>
        <vertAlign val="subscript"/>
        <sz val="14"/>
        <color theme="1"/>
        <rFont val="Calibri"/>
        <family val="2"/>
        <scheme val="minor"/>
      </rPr>
      <t>new</t>
    </r>
    <r>
      <rPr>
        <sz val="14"/>
        <color theme="1"/>
        <rFont val="Calibri"/>
        <family val="2"/>
        <scheme val="minor"/>
      </rPr>
      <t xml:space="preserve">: </t>
    </r>
  </si>
  <si>
    <t>Capacity 65 Mbtuh</t>
  </si>
  <si>
    <t>Capacity_65_Mbtuh</t>
  </si>
  <si>
    <t>Capacity 135 Mbtuh</t>
  </si>
  <si>
    <t>Capacity_135_Mbtuh</t>
  </si>
  <si>
    <t>Qualification criteria calculations applied prior to calculation of Indicators</t>
  </si>
  <si>
    <t>Capacity 240 Mbtuh</t>
  </si>
  <si>
    <t>Capacity_240_Mbtuh</t>
  </si>
  <si>
    <t>Capacity 760 Mbtuh</t>
  </si>
  <si>
    <t>Capacity_760_Mbtuh</t>
  </si>
  <si>
    <t>Transformation equations to SkW, WkW, GWh, Incentive (OUTPUT):</t>
  </si>
  <si>
    <t>FPL Rebate $/KW ===&gt;</t>
  </si>
  <si>
    <t>FPL_Rebate</t>
  </si>
  <si>
    <t xml:space="preserve">Indicator = </t>
  </si>
  <si>
    <t>Factor per kW * kWon premise</t>
  </si>
  <si>
    <t>Capacity Range less than 5.4 tons</t>
  </si>
  <si>
    <t>BES_Factor</t>
  </si>
  <si>
    <t xml:space="preserve">Indicator (Summer KW Reduction) = </t>
  </si>
  <si>
    <t>Summer KW  Factor * Summer KW Reduction</t>
  </si>
  <si>
    <t>Capacity Range greater than 5.4 tons, less than 11.25 tons</t>
  </si>
  <si>
    <t>SEER2_Factor_less_than_65_Mbtuh</t>
  </si>
  <si>
    <t xml:space="preserve">Indicator (Winter KW Reduction) = </t>
  </si>
  <si>
    <t>Winter KW  Factor * Summer KW Reduction</t>
  </si>
  <si>
    <t>Capacity Range greater than 11.25 tons, less than 20 tons</t>
  </si>
  <si>
    <t>BES Factor</t>
  </si>
  <si>
    <t>Factor Less Than 65 Mbtuh and Heat Pump</t>
  </si>
  <si>
    <t>SEER2 Factor less than 65 Mbuth</t>
  </si>
  <si>
    <t xml:space="preserve">EER Factor greater than 65 Mbtuh </t>
  </si>
  <si>
    <t>Base_IEER_to_EER_Factor_more_than_65_Mbtuh</t>
  </si>
  <si>
    <t>IEER Factor greater than 65 Mbtuh</t>
  </si>
  <si>
    <t>New_IEER_to_EER_Factor_more_than_65_Mbtuh</t>
  </si>
  <si>
    <t xml:space="preserve">Indicator (KWh Reduction) = </t>
  </si>
  <si>
    <t>KWh Factor * Summer KW Reduction</t>
  </si>
  <si>
    <t>Summer kW Factor</t>
  </si>
  <si>
    <t>Summer_kW_Factor</t>
  </si>
  <si>
    <t>Winter kW Factor</t>
  </si>
  <si>
    <t>Winter_kW_Factor</t>
  </si>
  <si>
    <t>Rebate Amount:</t>
  </si>
  <si>
    <t>kWh Factor</t>
  </si>
  <si>
    <t>kWh_Factor</t>
  </si>
  <si>
    <t xml:space="preserve">Rebate Amount = </t>
  </si>
  <si>
    <t>Summer KW Reduction * FPL Rebate</t>
  </si>
  <si>
    <t>Water Cooled Weighted Average</t>
  </si>
  <si>
    <t>Heat_Pump</t>
  </si>
  <si>
    <t>Heat Pump</t>
  </si>
  <si>
    <t>Yes</t>
  </si>
  <si>
    <t>Data Validation:</t>
  </si>
  <si>
    <t>No</t>
  </si>
  <si>
    <t>EFFICIENCY CONDITIONS</t>
  </si>
  <si>
    <t>System Capacity must be &gt;= 65Mbtuh</t>
  </si>
  <si>
    <t>Base Efficiency EER Qualifier</t>
  </si>
  <si>
    <t>SEER2</t>
  </si>
  <si>
    <t>System Capacity must be &lt; 65Mbtuh</t>
  </si>
  <si>
    <t>Base Efficiency SEER Qualifier</t>
  </si>
  <si>
    <t>Base Efficiency SEER2 Qualifier</t>
  </si>
  <si>
    <t xml:space="preserve">new field </t>
  </si>
  <si>
    <t>Base Efficiency IEER Qualifier</t>
  </si>
  <si>
    <t>EER2</t>
  </si>
  <si>
    <t>Base Efficiency EER2 Qualifier</t>
  </si>
  <si>
    <t>Base Efficiency IEER2 Qualifier</t>
  </si>
  <si>
    <t>Calculated Base Efficiency</t>
  </si>
  <si>
    <t>Calculated_Base_Efficiency</t>
  </si>
  <si>
    <t>SEER Factor less than 65 Mbuth</t>
  </si>
  <si>
    <t>Convert SEER2 to SEER value</t>
  </si>
  <si>
    <t>Calculated New Efficiency</t>
  </si>
  <si>
    <t>Calculated_New_Efficiency</t>
  </si>
  <si>
    <t>Convert EER to EER2 value</t>
  </si>
  <si>
    <t>Qualification</t>
  </si>
  <si>
    <t>IEER_EER2 Factor greater than 65 Mbtuh</t>
  </si>
  <si>
    <t>IEER_IEER2 Factor greater than 65 Mbtuh</t>
  </si>
  <si>
    <t>Convert IEER to IEER2 value</t>
  </si>
  <si>
    <t>Direct Expansion Unit (DX)</t>
  </si>
  <si>
    <t>Efficiency Rating</t>
  </si>
  <si>
    <t>DNQ</t>
  </si>
  <si>
    <t>Do Not Qualify</t>
  </si>
  <si>
    <t>Water Cooled</t>
  </si>
  <si>
    <t>Qualify</t>
  </si>
  <si>
    <t>System Capacity (Mbtuh)</t>
  </si>
  <si>
    <t xml:space="preserve">New Equipment Efficiency </t>
  </si>
  <si>
    <r>
      <t>System Capacity</t>
    </r>
    <r>
      <rPr>
        <sz val="11"/>
        <color theme="9" tint="0.79998168889431442"/>
        <rFont val="Times New Roman"/>
        <family val="1"/>
      </rPr>
      <t> </t>
    </r>
  </si>
  <si>
    <r>
      <t>Minimum Efficiency</t>
    </r>
    <r>
      <rPr>
        <sz val="11"/>
        <color theme="9" tint="0.79998168889431442"/>
        <rFont val="Times New Roman"/>
        <family val="1"/>
      </rPr>
      <t> </t>
    </r>
  </si>
  <si>
    <r>
      <t>Rebate Amount</t>
    </r>
    <r>
      <rPr>
        <sz val="11"/>
        <color theme="9" tint="0.79998168889431442"/>
        <rFont val="Times New Roman"/>
        <family val="1"/>
      </rPr>
      <t> </t>
    </r>
  </si>
  <si>
    <t>Quantity</t>
  </si>
  <si>
    <t>Less than 65 MBTUH</t>
  </si>
  <si>
    <t>SEER2: 14.78 </t>
  </si>
  <si>
    <t>$200 per unit </t>
  </si>
  <si>
    <t>Equal to 65 MBTUH and less than 135 MBTUH</t>
  </si>
  <si>
    <t>EER: 11.98</t>
  </si>
  <si>
    <t>$400 per unit </t>
  </si>
  <si>
    <t>Results</t>
  </si>
  <si>
    <t>Equal to 135 MBTUH and less than 240 MBTUH </t>
  </si>
  <si>
    <t>EER: 11.77</t>
  </si>
  <si>
    <t>$800 per unit </t>
  </si>
  <si>
    <t>POST 2025</t>
  </si>
  <si>
    <t>PRE 2025</t>
  </si>
  <si>
    <t>Equal to 240 MBTUH and less than 760 MBTUH</t>
  </si>
  <si>
    <t>EER: 10.70</t>
  </si>
  <si>
    <t>$820 per summer kW reduction </t>
  </si>
  <si>
    <t>KW Reduction at Meter</t>
  </si>
  <si>
    <t>Equal to 760 MBTUH and greater </t>
  </si>
  <si>
    <t>EER: 10.38</t>
  </si>
  <si>
    <t>Summer KW Reduction (SKW)</t>
  </si>
  <si>
    <t>Winter KW Reduction (WKW)</t>
  </si>
  <si>
    <t>Do not delete</t>
  </si>
  <si>
    <t>2025 Expansion factor</t>
  </si>
  <si>
    <t>At Generator</t>
  </si>
  <si>
    <t>kWh Reduction (KWH)</t>
  </si>
  <si>
    <t>SKW</t>
  </si>
  <si>
    <t>revised formula</t>
  </si>
  <si>
    <t>Incentive</t>
  </si>
  <si>
    <t>KWH</t>
  </si>
  <si>
    <t>For additional support:</t>
  </si>
  <si>
    <t> </t>
  </si>
  <si>
    <t>Business HVAC Program Support:</t>
  </si>
  <si>
    <t>Mike.Catarzi@fpl.com</t>
  </si>
  <si>
    <t>Jared.Giordano@fpl.com</t>
  </si>
  <si>
    <t>SkW Factor</t>
  </si>
  <si>
    <t>Busines HVAC Technical Support:</t>
  </si>
  <si>
    <t>Chi.Lui@fpl.com</t>
  </si>
  <si>
    <t>Winter kW factor</t>
  </si>
  <si>
    <t>Abel.Alonso@fpl.com</t>
  </si>
  <si>
    <t>KWH Factor</t>
  </si>
  <si>
    <t>BES</t>
  </si>
  <si>
    <t>Code</t>
  </si>
  <si>
    <t>Factor</t>
  </si>
  <si>
    <t>EER =&gt;</t>
  </si>
  <si>
    <t>EER to SEER</t>
  </si>
  <si>
    <t>Rebate</t>
  </si>
  <si>
    <t xml:space="preserve">         &gt;=760 Mbtuh</t>
  </si>
  <si>
    <t xml:space="preserve">  240 =&lt; Mbtuh &lt; 760 MBtuh</t>
  </si>
  <si>
    <t xml:space="preserve">  135 =&lt; Mbtuh &lt; 240 MBtuh</t>
  </si>
  <si>
    <t xml:space="preserve">  65 =&lt; Mbtuh &lt; 135 Mbtuh</t>
  </si>
  <si>
    <t>&lt; 65 MBtuh</t>
  </si>
  <si>
    <t>Paym $/kw</t>
  </si>
  <si>
    <t>EER Basis</t>
  </si>
  <si>
    <t xml:space="preserve">   Qualify </t>
  </si>
  <si>
    <t xml:space="preserve">  Qualify </t>
  </si>
  <si>
    <t>SEER Basis</t>
  </si>
  <si>
    <t xml:space="preserve">FPL Rebates DX </t>
  </si>
  <si>
    <t xml:space="preserve"> </t>
  </si>
  <si>
    <t xml:space="preserve"> Must Meet Efficiency Standards ASHRAE 90.1        </t>
  </si>
  <si>
    <t>Eff</t>
  </si>
  <si>
    <t>Dx Unitary</t>
  </si>
  <si>
    <t>KW/TON</t>
  </si>
  <si>
    <t>COP</t>
  </si>
  <si>
    <t xml:space="preserve">Cap   Tons </t>
  </si>
  <si>
    <t>Tons   ≥ 63.33</t>
  </si>
  <si>
    <t xml:space="preserve">20 ≤  Tons  &lt; 63.33 </t>
  </si>
  <si>
    <t>11.25 ≤ Tons  &lt; 20</t>
  </si>
  <si>
    <t>5.42 ≤ Tons   &lt; 11.25</t>
  </si>
  <si>
    <t>Tons &lt; 5.42</t>
  </si>
  <si>
    <t xml:space="preserve">Cap MBtuh </t>
  </si>
  <si>
    <t>MBtuh  ≥ 760</t>
  </si>
  <si>
    <t xml:space="preserve">240 ≤ MBtuh &lt; 760 </t>
  </si>
  <si>
    <t xml:space="preserve">135 ≤  MBtuh &lt; 240 </t>
  </si>
  <si>
    <t>65 ≤ MBtuh &lt; 135</t>
  </si>
  <si>
    <t>MBtuh &lt; 65</t>
  </si>
  <si>
    <t>Rebate &gt;63</t>
  </si>
  <si>
    <t>Reduction</t>
  </si>
  <si>
    <t>Rebate 20 to 63</t>
  </si>
  <si>
    <t>(S)EER</t>
  </si>
  <si>
    <t>$/MBtuh</t>
  </si>
  <si>
    <t>$/tons</t>
  </si>
  <si>
    <t>kW/MBtuh</t>
  </si>
  <si>
    <t>DX Qualify</t>
  </si>
  <si>
    <t>kW @ Meter</t>
  </si>
  <si>
    <t>kW Lookup</t>
  </si>
  <si>
    <t>Incentive Lookup</t>
  </si>
  <si>
    <t>Table 6.8.1-1 Electrically Operated Unitary Air Conditioners and Condensing Units - Minimum Efficiency Requirements</t>
  </si>
  <si>
    <t>Air Conditioners, Air-Cooled</t>
  </si>
  <si>
    <t>Size Category</t>
  </si>
  <si>
    <t>Heating Type</t>
  </si>
  <si>
    <t>&lt; 65 Mbtuh</t>
  </si>
  <si>
    <t>All</t>
  </si>
  <si>
    <t>(given)</t>
  </si>
  <si>
    <r>
      <rPr>
        <sz val="10"/>
        <rFont val="Cambria"/>
        <family val="1"/>
      </rPr>
      <t xml:space="preserve">≥ </t>
    </r>
    <r>
      <rPr>
        <sz val="10"/>
        <rFont val="Arial"/>
        <family val="2"/>
      </rPr>
      <t xml:space="preserve">65 Mbtuh and </t>
    </r>
    <r>
      <rPr>
        <sz val="10"/>
        <rFont val="Arial"/>
        <family val="1"/>
      </rPr>
      <t>&lt; 135 Mbtuh</t>
    </r>
  </si>
  <si>
    <t>Electric Resistence or none</t>
  </si>
  <si>
    <t>All Other</t>
  </si>
  <si>
    <r>
      <rPr>
        <sz val="10"/>
        <rFont val="Cambria"/>
        <family val="1"/>
      </rPr>
      <t xml:space="preserve">≥ </t>
    </r>
    <r>
      <rPr>
        <sz val="10"/>
        <rFont val="Arial"/>
        <family val="2"/>
      </rPr>
      <t xml:space="preserve">135 Mbtuh and </t>
    </r>
    <r>
      <rPr>
        <sz val="10"/>
        <rFont val="Arial"/>
        <family val="1"/>
      </rPr>
      <t>&lt; 240 Mbtuh</t>
    </r>
  </si>
  <si>
    <r>
      <rPr>
        <sz val="10"/>
        <rFont val="Cambria"/>
        <family val="1"/>
      </rPr>
      <t xml:space="preserve">≥ </t>
    </r>
    <r>
      <rPr>
        <sz val="10"/>
        <rFont val="Arial"/>
        <family val="2"/>
      </rPr>
      <t xml:space="preserve">240 Mbtuh and </t>
    </r>
    <r>
      <rPr>
        <sz val="10"/>
        <rFont val="Arial"/>
        <family val="1"/>
      </rPr>
      <t>&lt; 760 Mbtuh</t>
    </r>
  </si>
  <si>
    <r>
      <rPr>
        <sz val="10"/>
        <rFont val="Cambria"/>
        <family val="1"/>
      </rPr>
      <t xml:space="preserve">≥ </t>
    </r>
    <r>
      <rPr>
        <sz val="10"/>
        <rFont val="Arial"/>
        <family val="1"/>
      </rPr>
      <t>760 Mbtuh</t>
    </r>
  </si>
  <si>
    <t>`</t>
  </si>
  <si>
    <t>Table 6.8.1-2 Electrically Operated Unitary Heat Pumps - Minimum Efficiency Requirements</t>
  </si>
  <si>
    <t>Air-Cooled (cooling mode)</t>
  </si>
  <si>
    <t>EER Water Cooled</t>
  </si>
  <si>
    <t>SEER2 Air Cooled</t>
  </si>
  <si>
    <t>&lt; 65 Mbtuh only</t>
  </si>
  <si>
    <t>Factor-water-Air</t>
  </si>
  <si>
    <t>SEER_SEER2</t>
  </si>
  <si>
    <t>https://nee.sharepoint.com/:x:/r/teams/EXT_EXTDSMSProjectTeamsChannel/_layouts/15/Doc.aspx?sourcedoc=%7BA7941B36-3EC4-4E18-B673-C26F641D505C%7D&amp;file=Business%20HVAC%20DX%20Calculation%20R4-07312023.xlsx&amp;action=default&amp;mobileredirect=true</t>
  </si>
  <si>
    <t>Back End</t>
  </si>
  <si>
    <t>Back end</t>
  </si>
  <si>
    <t>Input Data</t>
  </si>
  <si>
    <t>Output Data</t>
  </si>
  <si>
    <t>Period (Text)</t>
  </si>
  <si>
    <t>Program (Text)</t>
  </si>
  <si>
    <t>Measure (Text)</t>
  </si>
  <si>
    <t>System Capacity Mbtuh (Range)</t>
  </si>
  <si>
    <t>Qualifier Factor (%)</t>
  </si>
  <si>
    <t>Min Qual Efficiency SEER2 (#)</t>
  </si>
  <si>
    <t>Min Qual Efficiency SEER (#)</t>
  </si>
  <si>
    <t>Min Qual Efficiency EER2 (#)</t>
  </si>
  <si>
    <t>Min Qual Efficiency EER (#)</t>
  </si>
  <si>
    <t>Min Qual Efficiency IEER2 (#)</t>
  </si>
  <si>
    <t>Min Qual Efficiency IEER (#)</t>
  </si>
  <si>
    <r>
      <rPr>
        <sz val="11"/>
        <color rgb="FFFF0000"/>
        <rFont val="Calibri"/>
        <family val="2"/>
        <scheme val="minor"/>
      </rPr>
      <t>SEER2</t>
    </r>
    <r>
      <rPr>
        <sz val="10"/>
        <rFont val="Arial"/>
        <family val="2"/>
      </rPr>
      <t>AppBelowMbtuh (#)</t>
    </r>
  </si>
  <si>
    <r>
      <rPr>
        <sz val="11"/>
        <color rgb="FFFF0000"/>
        <rFont val="Calibri"/>
        <family val="2"/>
        <scheme val="minor"/>
      </rPr>
      <t>SEER</t>
    </r>
    <r>
      <rPr>
        <sz val="10"/>
        <rFont val="Arial"/>
        <family val="2"/>
      </rPr>
      <t xml:space="preserve"> Factor (#)</t>
    </r>
  </si>
  <si>
    <r>
      <rPr>
        <sz val="11"/>
        <color rgb="FFFF0000"/>
        <rFont val="Calibri"/>
        <family val="2"/>
        <scheme val="minor"/>
      </rPr>
      <t>Heat Pump</t>
    </r>
    <r>
      <rPr>
        <sz val="10"/>
        <rFont val="Arial"/>
        <family val="2"/>
      </rPr>
      <t xml:space="preserve"> Factor (#)</t>
    </r>
  </si>
  <si>
    <t>EERIEERAppAboveMbtuh (#)</t>
  </si>
  <si>
    <t>EER Factor (#)</t>
  </si>
  <si>
    <t>IEER Factor (#)</t>
  </si>
  <si>
    <t>BESFactor (#)</t>
  </si>
  <si>
    <t>Water Cooled Weighted Avg (#)</t>
  </si>
  <si>
    <t>Summer kW Factor (#)</t>
  </si>
  <si>
    <t>WinterkWFactor (#)</t>
  </si>
  <si>
    <t>kWh Factor (#)</t>
  </si>
  <si>
    <t>Rebate Amount (#)</t>
  </si>
  <si>
    <t>Current</t>
  </si>
  <si>
    <t>Business HVAC - DXAC</t>
  </si>
  <si>
    <t>Direct Expansion AC</t>
  </si>
  <si>
    <t>Direct Expansion HP</t>
  </si>
  <si>
    <t>Grace</t>
  </si>
  <si>
    <t>Back End colums no need to create Columns</t>
  </si>
  <si>
    <t>New Columns</t>
  </si>
  <si>
    <t>Qualifier=</t>
  </si>
  <si>
    <t>Qualifier Factor * Min Qual Efficiency</t>
  </si>
  <si>
    <t>Hard input</t>
  </si>
  <si>
    <t>Calculated values</t>
  </si>
  <si>
    <r>
      <t>System Capacity</t>
    </r>
    <r>
      <rPr>
        <sz val="11"/>
        <color rgb="FF000000"/>
        <rFont val="Times New Roman"/>
        <family val="1"/>
      </rPr>
      <t> </t>
    </r>
  </si>
  <si>
    <r>
      <t>Minimum Qualify Efficiency</t>
    </r>
    <r>
      <rPr>
        <sz val="11"/>
        <color rgb="FF000000"/>
        <rFont val="Times New Roman"/>
        <family val="1"/>
      </rPr>
      <t> </t>
    </r>
  </si>
  <si>
    <r>
      <t>Rebate Amount</t>
    </r>
    <r>
      <rPr>
        <sz val="11"/>
        <color rgb="FF000000"/>
        <rFont val="Times New Roman"/>
        <family val="1"/>
      </rPr>
      <t> </t>
    </r>
  </si>
  <si>
    <t>Less than 65 MBTUH </t>
  </si>
  <si>
    <t>Equal to 65 MBTUH and less than 135 MBTUH </t>
  </si>
  <si>
    <t>Equal to 135 MBTUH and less than 240 MBTUH</t>
  </si>
  <si>
    <t>Equal to 20 tons and less than 63.33 tons </t>
  </si>
  <si>
    <t>Equal to 63.33 tons and greater </t>
  </si>
  <si>
    <t>Date</t>
  </si>
  <si>
    <t>Sheet</t>
  </si>
  <si>
    <t>Cell</t>
  </si>
  <si>
    <t>Change</t>
  </si>
  <si>
    <t>DXAC Prog and Lookup</t>
  </si>
  <si>
    <t>D6</t>
  </si>
  <si>
    <t>New back end calculated conditional efficiency values based on system capacity less than 65 Mbtuh and water cooled heat pump</t>
  </si>
  <si>
    <t>More than one unit of equal capacity and efficiency?</t>
  </si>
  <si>
    <t>E6</t>
  </si>
  <si>
    <t>If "Yes", allow input for number of units</t>
  </si>
  <si>
    <t>F6</t>
  </si>
  <si>
    <t>If "No", Set number of units equal to "1"</t>
  </si>
  <si>
    <t>G6</t>
  </si>
  <si>
    <t>D17</t>
  </si>
  <si>
    <t>New factor Less Than 65 Mbtuh and water cooled heat pump</t>
  </si>
  <si>
    <t>D32</t>
  </si>
  <si>
    <t>Update conditional formula to include D6, E6,F6,G6</t>
  </si>
  <si>
    <t>D33</t>
  </si>
  <si>
    <t>Update conditional formula to include D6, E6,F6,G7</t>
  </si>
  <si>
    <t>D29</t>
  </si>
  <si>
    <t>Update value</t>
  </si>
  <si>
    <t>Vlocity Matrices</t>
  </si>
  <si>
    <t>Heat Pump Factor and revised Backend calc to include</t>
  </si>
  <si>
    <t>SF</t>
  </si>
  <si>
    <t>Calc</t>
  </si>
  <si>
    <t>Type</t>
  </si>
  <si>
    <t>Capacity</t>
  </si>
  <si>
    <t>Rating Type</t>
  </si>
  <si>
    <t>Rating Value</t>
  </si>
  <si>
    <t>SkW</t>
  </si>
  <si>
    <t>WkW</t>
  </si>
  <si>
    <t>kWh</t>
  </si>
  <si>
    <t>Rebate Amount</t>
  </si>
  <si>
    <t>From UAT</t>
  </si>
  <si>
    <t>Actual</t>
  </si>
  <si>
    <t>DX AC Air Cooled</t>
  </si>
  <si>
    <t>DX AC</t>
  </si>
  <si>
    <t>SEER and SEER2 Water Cooled unit,</t>
  </si>
  <si>
    <t>Revise note "Water cooled equipment type, select efficiency rating EER2, EER2 cannot be less than 12.94"</t>
  </si>
  <si>
    <t>EER2 cannot be less than 14.78</t>
  </si>
  <si>
    <t xml:space="preserve">Add IEER values for Program specialist </t>
  </si>
  <si>
    <t xml:space="preserve">EER </t>
  </si>
  <si>
    <t>DX AC Water Cooled</t>
  </si>
  <si>
    <t>SEER2 cannot be less than 12.94</t>
  </si>
  <si>
    <t>SEER2: 14.78, Negative values due to rating values not correct, used 14.94, Revise note "Water cooled equipment type, select efficiency rating EER2, EER2 cannot be less than 12.94"
Can we limit efficiency rating type to EER2 fo water cooled system less than 65 mbtuh?</t>
  </si>
  <si>
    <t>DX WC</t>
  </si>
  <si>
    <t>SEER and SEER2 cannot be less than 12.94</t>
  </si>
  <si>
    <t>SEER: 15.47</t>
  </si>
  <si>
    <t>kWh seems low</t>
  </si>
  <si>
    <t>Revise note "Water cooled equipment type, select efficiency rating EER2, EER2 cannot be less than 12.94"
Can we limit efficiency rating type to EER2 fo water cooled system less than 65 mbtuh?</t>
  </si>
  <si>
    <t>DX HP Water Cooled</t>
  </si>
  <si>
    <t>DX WC HP</t>
  </si>
  <si>
    <t>UAT</t>
  </si>
  <si>
    <t>Calculator</t>
  </si>
  <si>
    <t>From UAT comments</t>
  </si>
  <si>
    <t>DX Calculator commets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</si>
</sst>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7" formatCode="&quot;$&quot;#,##0.00_);\(&quot;$&quot;#,##0.00\)"/>
    <numFmt numFmtId="44" formatCode="_(&quot;$&quot;* #,##0.00_);_(&quot;$&quot;* \(#,##0.00\);_(&quot;$&quot;* &quot;-&quot;??_);_(@_)"/>
    <numFmt numFmtId="43" formatCode="_(* #,##0.00_);_(* \(#,##0.00\);_(* &quot;-&quot;??_);_(@_)"/>
    <numFmt numFmtId="164" formatCode="0.0000"/>
    <numFmt numFmtId="165" formatCode="0.0_)"/>
    <numFmt numFmtId="166" formatCode="0.0"/>
    <numFmt numFmtId="167" formatCode="0.000"/>
    <numFmt numFmtId="168" formatCode="_(* #,##0_);_(* \(#,##0\);_(* &quot;-&quot;??_);_(@_)"/>
    <numFmt numFmtId="169" formatCode="0.0%"/>
    <numFmt numFmtId="170" formatCode="_(&quot;$&quot;* #,##0_);_(&quot;$&quot;* \(#,##0\);_(&quot;$&quot;* &quot;-&quot;??_);_(@_)"/>
    <numFmt numFmtId="171" formatCode="_(* #,##0.000_);_(* \(#,##0.000\);_(* &quot;-&quot;??_);_(@_)"/>
    <numFmt numFmtId="172" formatCode="#,##0.000_);\(#,##0.000\)"/>
    <numFmt numFmtId="173" formatCode="#,##0.0000_);\(#,##0.0000\)"/>
    <numFmt numFmtId="174" formatCode="0.000000000"/>
    <numFmt numFmtId="175" formatCode="0.000000"/>
    <numFmt numFmtId="176" formatCode="0.0000000"/>
    <numFmt numFmtId="177" formatCode="&quot;$&quot;#,##0.00"/>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name val="Arial"/>
      <family val="2"/>
    </font>
    <font>
      <sz val="10"/>
      <name val="Arial"/>
      <family val="2"/>
    </font>
    <font>
      <b/>
      <i/>
      <sz val="16"/>
      <name val="Times New Roman"/>
      <family val="1"/>
    </font>
    <font>
      <u/>
      <sz val="10"/>
      <name val="Arial"/>
      <family val="2"/>
    </font>
    <font>
      <b/>
      <sz val="12"/>
      <name val="Arial"/>
      <family val="2"/>
    </font>
    <font>
      <b/>
      <sz val="9"/>
      <name val="Arial"/>
      <family val="2"/>
    </font>
    <font>
      <b/>
      <sz val="8"/>
      <name val="Arial"/>
      <family val="2"/>
    </font>
    <font>
      <sz val="12"/>
      <name val="Arial"/>
      <family val="2"/>
    </font>
    <font>
      <b/>
      <u/>
      <sz val="12"/>
      <name val="Arial"/>
      <family val="2"/>
    </font>
    <font>
      <sz val="8"/>
      <name val="Arial"/>
      <family val="2"/>
    </font>
    <font>
      <b/>
      <sz val="10"/>
      <color indexed="12"/>
      <name val="Arial"/>
      <family val="2"/>
    </font>
    <font>
      <i/>
      <sz val="10"/>
      <name val="Arial"/>
      <family val="2"/>
    </font>
    <font>
      <b/>
      <sz val="16"/>
      <name val="Arial"/>
      <family val="2"/>
    </font>
    <font>
      <sz val="8"/>
      <color indexed="81"/>
      <name val="Tahoma"/>
      <family val="2"/>
    </font>
    <font>
      <b/>
      <sz val="8"/>
      <color indexed="81"/>
      <name val="Tahoma"/>
      <family val="2"/>
    </font>
    <font>
      <sz val="12"/>
      <color theme="4"/>
      <name val="Arial"/>
      <family val="2"/>
    </font>
    <font>
      <sz val="9"/>
      <color indexed="81"/>
      <name val="Tahoma"/>
      <family val="2"/>
    </font>
    <font>
      <sz val="11"/>
      <color theme="1"/>
      <name val="Calibri"/>
      <family val="2"/>
      <scheme val="minor"/>
    </font>
    <font>
      <sz val="10"/>
      <color theme="1"/>
      <name val="Tahoma"/>
      <family val="2"/>
    </font>
    <font>
      <b/>
      <sz val="9"/>
      <color indexed="81"/>
      <name val="Tahoma"/>
      <family val="2"/>
    </font>
    <font>
      <sz val="11"/>
      <color theme="1"/>
      <name val="Calibri"/>
      <family val="2"/>
    </font>
    <font>
      <b/>
      <sz val="10"/>
      <color rgb="FFFF0000"/>
      <name val="Arial"/>
      <family val="2"/>
    </font>
    <font>
      <sz val="10"/>
      <color rgb="FFFF0000"/>
      <name val="Arial"/>
      <family val="2"/>
    </font>
    <font>
      <sz val="11"/>
      <color rgb="FFFF0000"/>
      <name val="Calibri"/>
      <family val="2"/>
      <scheme val="minor"/>
    </font>
    <font>
      <sz val="11"/>
      <name val="Calibri"/>
      <family val="2"/>
      <scheme val="minor"/>
    </font>
    <font>
      <sz val="11"/>
      <color indexed="8"/>
      <name val="Calibri"/>
      <family val="2"/>
    </font>
    <font>
      <sz val="10"/>
      <color indexed="8"/>
      <name val="Arial"/>
      <family val="2"/>
    </font>
    <font>
      <b/>
      <sz val="11"/>
      <color theme="1"/>
      <name val="Calibri"/>
      <family val="2"/>
      <scheme val="minor"/>
    </font>
    <font>
      <b/>
      <sz val="11"/>
      <name val="Calibri"/>
      <family val="2"/>
      <scheme val="minor"/>
    </font>
    <font>
      <sz val="14"/>
      <color theme="1"/>
      <name val="Calibri"/>
      <family val="2"/>
      <scheme val="minor"/>
    </font>
    <font>
      <vertAlign val="subscript"/>
      <sz val="14"/>
      <color theme="1"/>
      <name val="Calibri"/>
      <family val="2"/>
      <scheme val="minor"/>
    </font>
    <font>
      <sz val="10"/>
      <color theme="8" tint="-0.499984740745262"/>
      <name val="Arial"/>
      <family val="2"/>
    </font>
    <font>
      <b/>
      <sz val="10"/>
      <color theme="8" tint="-0.499984740745262"/>
      <name val="Arial"/>
      <family val="2"/>
    </font>
    <font>
      <u/>
      <sz val="10"/>
      <color theme="10"/>
      <name val="Arial"/>
      <family val="2"/>
    </font>
    <font>
      <sz val="18"/>
      <name val="Arial"/>
      <family val="2"/>
    </font>
    <font>
      <sz val="11"/>
      <color rgb="FFC00000"/>
      <name val="Calibri"/>
      <family val="2"/>
      <scheme val="minor"/>
    </font>
    <font>
      <sz val="10"/>
      <name val="Arial"/>
      <family val="1"/>
    </font>
    <font>
      <sz val="10"/>
      <name val="Cambria"/>
      <family val="1"/>
    </font>
    <font>
      <b/>
      <i/>
      <sz val="11"/>
      <name val="Arial"/>
      <family val="2"/>
    </font>
    <font>
      <b/>
      <sz val="14"/>
      <color theme="1"/>
      <name val="Calibri"/>
      <family val="2"/>
      <scheme val="minor"/>
    </font>
    <font>
      <sz val="12"/>
      <color rgb="FFFFFFFF"/>
      <name val="Calibri"/>
      <family val="2"/>
    </font>
    <font>
      <sz val="11"/>
      <color rgb="FF000000"/>
      <name val="Calibri"/>
      <family val="2"/>
    </font>
    <font>
      <sz val="11"/>
      <color rgb="FFFFFFFF"/>
      <name val="Calibri"/>
      <family val="2"/>
    </font>
    <font>
      <b/>
      <sz val="10"/>
      <color rgb="FF000000"/>
      <name val="Arial"/>
      <family val="2"/>
    </font>
    <font>
      <b/>
      <sz val="18"/>
      <color rgb="FFFFFFFF"/>
      <name val="Cambria"/>
      <family val="1"/>
    </font>
    <font>
      <b/>
      <sz val="11"/>
      <color rgb="FFFF0000"/>
      <name val="Calibri"/>
      <family val="2"/>
      <scheme val="minor"/>
    </font>
    <font>
      <b/>
      <sz val="18"/>
      <color theme="0"/>
      <name val="Cambria"/>
      <family val="1"/>
    </font>
    <font>
      <b/>
      <sz val="11"/>
      <color rgb="FF000000"/>
      <name val="Calibri"/>
      <family val="2"/>
    </font>
    <font>
      <sz val="11"/>
      <name val="Times New Roman"/>
      <family val="1"/>
    </font>
    <font>
      <sz val="11"/>
      <color rgb="FF0070C0"/>
      <name val="Calibri"/>
      <family val="2"/>
      <scheme val="minor"/>
    </font>
    <font>
      <b/>
      <sz val="11"/>
      <color rgb="FF000000"/>
      <name val="Times New Roman"/>
      <family val="1"/>
    </font>
    <font>
      <sz val="11"/>
      <color rgb="FF000000"/>
      <name val="Times New Roman"/>
      <family val="1"/>
    </font>
    <font>
      <sz val="11"/>
      <color rgb="FFFF0000"/>
      <name val="Times New Roman"/>
      <family val="1"/>
    </font>
    <font>
      <b/>
      <sz val="11"/>
      <color theme="0"/>
      <name val="Calibri"/>
      <family val="2"/>
      <scheme val="minor"/>
    </font>
    <font>
      <sz val="11"/>
      <color theme="0"/>
      <name val="Calibri"/>
      <family val="2"/>
      <scheme val="minor"/>
    </font>
    <font>
      <b/>
      <sz val="10"/>
      <color theme="9" tint="0.79998168889431442"/>
      <name val="Arial"/>
      <family val="2"/>
    </font>
    <font>
      <sz val="11"/>
      <color theme="9" tint="0.79998168889431442"/>
      <name val="Calibri"/>
      <family val="2"/>
      <scheme val="minor"/>
    </font>
    <font>
      <b/>
      <sz val="11"/>
      <color theme="9" tint="0.79998168889431442"/>
      <name val="Calibri"/>
      <family val="2"/>
      <scheme val="minor"/>
    </font>
    <font>
      <strike/>
      <sz val="11"/>
      <color theme="9" tint="0.79998168889431442"/>
      <name val="Calibri"/>
      <family val="2"/>
      <scheme val="minor"/>
    </font>
    <font>
      <b/>
      <sz val="14"/>
      <color theme="9" tint="0.79998168889431442"/>
      <name val="Calibri"/>
      <family val="2"/>
      <scheme val="minor"/>
    </font>
    <font>
      <sz val="10"/>
      <color theme="9" tint="0.79998168889431442"/>
      <name val="Arial"/>
      <family val="2"/>
    </font>
    <font>
      <b/>
      <sz val="11"/>
      <color theme="9" tint="0.79998168889431442"/>
      <name val="Times New Roman"/>
      <family val="1"/>
    </font>
    <font>
      <sz val="11"/>
      <color theme="9" tint="0.79998168889431442"/>
      <name val="Times New Roman"/>
      <family val="1"/>
    </font>
    <font>
      <b/>
      <sz val="11"/>
      <color rgb="FF0070C0"/>
      <name val="Calibri"/>
      <family val="2"/>
      <scheme val="minor"/>
    </font>
    <font>
      <sz val="11"/>
      <color theme="9" tint="0.79998168889431442"/>
      <name val="Calibri"/>
      <family val="2"/>
    </font>
    <font>
      <sz val="11"/>
      <color theme="6" tint="0.79998168889431442"/>
      <name val="Calibri"/>
      <family val="2"/>
      <scheme val="minor"/>
    </font>
    <font>
      <b/>
      <sz val="16"/>
      <color theme="1"/>
      <name val="Calibri"/>
      <family val="2"/>
      <scheme val="minor"/>
    </font>
    <font>
      <sz val="16"/>
      <color theme="1"/>
      <name val="Calibri"/>
      <family val="2"/>
      <scheme val="minor"/>
    </font>
    <font>
      <sz val="10"/>
      <color rgb="FF7030A0"/>
      <name val="Arial"/>
      <family val="2"/>
    </font>
    <font>
      <sz val="10"/>
      <color rgb="FF00B050"/>
      <name val="Arial"/>
      <family val="2"/>
    </font>
  </fonts>
  <fills count="15">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theme="9" tint="0.79998168889431442"/>
        <bgColor indexed="64"/>
      </patternFill>
    </fill>
    <fill>
      <patternFill patternType="solid">
        <fgColor indexed="26"/>
      </patternFill>
    </fill>
    <fill>
      <patternFill patternType="solid">
        <fgColor rgb="FF002060"/>
        <bgColor indexed="64"/>
      </patternFill>
    </fill>
    <fill>
      <patternFill patternType="solid">
        <fgColor rgb="FF002060"/>
        <bgColor rgb="FF000000"/>
      </patternFill>
    </fill>
    <fill>
      <patternFill patternType="solid">
        <fgColor rgb="FFFFFFFF"/>
        <bgColor rgb="FF000000"/>
      </patternFill>
    </fill>
    <fill>
      <patternFill patternType="solid">
        <fgColor theme="2"/>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s>
  <borders count="70">
    <border>
      <left/>
      <right/>
      <top/>
      <bottom/>
      <diagonal/>
    </border>
    <border>
      <left/>
      <right style="double">
        <color indexed="64"/>
      </right>
      <top/>
      <bottom/>
      <diagonal/>
    </border>
    <border>
      <left style="double">
        <color indexed="64"/>
      </left>
      <right style="medium">
        <color indexed="64"/>
      </right>
      <top/>
      <bottom/>
      <diagonal/>
    </border>
    <border>
      <left/>
      <right style="medium">
        <color indexed="64"/>
      </right>
      <top/>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style="thin">
        <color indexed="64"/>
      </left>
      <right style="thin">
        <color indexed="64"/>
      </right>
      <top/>
      <bottom/>
      <diagonal/>
    </border>
    <border>
      <left/>
      <right/>
      <top/>
      <bottom style="medium">
        <color indexed="64"/>
      </bottom>
      <diagonal/>
    </border>
    <border>
      <left style="double">
        <color indexed="64"/>
      </left>
      <right/>
      <top/>
      <bottom style="thin">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medium">
        <color indexed="64"/>
      </right>
      <top style="medium">
        <color indexed="64"/>
      </top>
      <bottom/>
      <diagonal/>
    </border>
    <border>
      <left style="double">
        <color indexed="64"/>
      </left>
      <right/>
      <top style="medium">
        <color indexed="64"/>
      </top>
      <bottom/>
      <diagonal/>
    </border>
    <border>
      <left style="mediumDashed">
        <color indexed="64"/>
      </left>
      <right style="double">
        <color indexed="64"/>
      </right>
      <top style="medium">
        <color indexed="64"/>
      </top>
      <bottom/>
      <diagonal/>
    </border>
    <border>
      <left style="mediumDashed">
        <color indexed="64"/>
      </left>
      <right style="double">
        <color indexed="64"/>
      </right>
      <top/>
      <bottom/>
      <diagonal/>
    </border>
    <border>
      <left style="double">
        <color indexed="64"/>
      </left>
      <right style="mediumDashed">
        <color indexed="64"/>
      </right>
      <top/>
      <bottom/>
      <diagonal/>
    </border>
    <border>
      <left style="mediumDashed">
        <color indexed="64"/>
      </left>
      <right style="double">
        <color indexed="64"/>
      </right>
      <top/>
      <bottom style="medium">
        <color indexed="64"/>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style="mediumDashed">
        <color indexed="64"/>
      </left>
      <right style="double">
        <color indexed="64"/>
      </right>
      <top/>
      <bottom style="double">
        <color indexed="64"/>
      </bottom>
      <diagonal/>
    </border>
    <border>
      <left/>
      <right style="medium">
        <color indexed="64"/>
      </right>
      <top/>
      <bottom style="double">
        <color indexed="64"/>
      </bottom>
      <diagonal/>
    </border>
    <border>
      <left style="medium">
        <color indexed="64"/>
      </left>
      <right/>
      <top/>
      <bottom/>
      <diagonal/>
    </border>
    <border>
      <left style="double">
        <color indexed="64"/>
      </left>
      <right style="medium">
        <color indexed="64"/>
      </right>
      <top/>
      <bottom style="double">
        <color indexed="64"/>
      </bottom>
      <diagonal/>
    </border>
    <border>
      <left style="double">
        <color indexed="64"/>
      </left>
      <right style="mediumDashed">
        <color indexed="64"/>
      </right>
      <top/>
      <bottom style="double">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double">
        <color indexed="64"/>
      </bottom>
      <diagonal/>
    </border>
    <border>
      <left/>
      <right/>
      <top style="double">
        <color auto="1"/>
      </top>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diagonal/>
    </border>
    <border>
      <left/>
      <right style="thin">
        <color auto="1"/>
      </right>
      <top style="double">
        <color auto="1"/>
      </top>
      <bottom/>
      <diagonal/>
    </border>
    <border>
      <left style="thin">
        <color indexed="64"/>
      </left>
      <right/>
      <top/>
      <bottom/>
      <diagonal/>
    </border>
    <border>
      <left/>
      <right/>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bottom style="thick">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indexed="64"/>
      </top>
      <bottom/>
      <diagonal/>
    </border>
    <border>
      <left style="medium">
        <color indexed="64"/>
      </left>
      <right style="double">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Dashed">
        <color indexed="64"/>
      </right>
      <top style="thin">
        <color indexed="64"/>
      </top>
      <bottom/>
      <diagonal/>
    </border>
    <border>
      <left style="mediumDashed">
        <color indexed="64"/>
      </left>
      <right style="double">
        <color indexed="64"/>
      </right>
      <top style="thin">
        <color indexed="64"/>
      </top>
      <bottom/>
      <diagonal/>
    </border>
  </borders>
  <cellStyleXfs count="45">
    <xf numFmtId="0" fontId="0" fillId="0" borderId="0" applyFill="0" applyBorder="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applyFill="0" applyBorder="0" applyProtection="0"/>
    <xf numFmtId="43" fontId="10" fillId="0" borderId="0" applyFont="0" applyFill="0" applyBorder="0" applyAlignment="0" applyProtection="0"/>
    <xf numFmtId="0" fontId="26" fillId="0" borderId="0"/>
    <xf numFmtId="9" fontId="26" fillId="0" borderId="0" applyFont="0" applyFill="0" applyBorder="0" applyAlignment="0" applyProtection="0"/>
    <xf numFmtId="0" fontId="8" fillId="3" borderId="36" applyNumberFormat="0" applyFont="0" applyAlignment="0" applyProtection="0"/>
    <xf numFmtId="0" fontId="27" fillId="0" borderId="0"/>
    <xf numFmtId="0" fontId="29"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applyFill="0" applyBorder="0" applyProtection="0"/>
    <xf numFmtId="0" fontId="10" fillId="0" borderId="0" applyFill="0" applyBorder="0" applyProtection="0"/>
    <xf numFmtId="0" fontId="8" fillId="3" borderId="36"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0" fontId="7" fillId="0" borderId="0"/>
    <xf numFmtId="43" fontId="7" fillId="0" borderId="0" applyFont="0" applyFill="0" applyBorder="0" applyAlignment="0" applyProtection="0"/>
    <xf numFmtId="0" fontId="34" fillId="0" borderId="0"/>
    <xf numFmtId="0" fontId="34" fillId="0" borderId="0"/>
    <xf numFmtId="0" fontId="34" fillId="0" borderId="0"/>
    <xf numFmtId="0" fontId="35" fillId="5" borderId="39" applyNumberFormat="0" applyFont="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2" fillId="0" borderId="0" applyNumberFormat="0" applyFill="0" applyBorder="0" applyAlignment="0" applyProtection="0"/>
    <xf numFmtId="0" fontId="4" fillId="0" borderId="0"/>
    <xf numFmtId="0" fontId="3" fillId="0" borderId="0"/>
    <xf numFmtId="44" fontId="3" fillId="0" borderId="0" applyFont="0" applyFill="0" applyBorder="0" applyAlignment="0" applyProtection="0"/>
    <xf numFmtId="0" fontId="2" fillId="0" borderId="0"/>
  </cellStyleXfs>
  <cellXfs count="372">
    <xf numFmtId="0" fontId="0" fillId="0" borderId="0" xfId="0"/>
    <xf numFmtId="0" fontId="13" fillId="0" borderId="0" xfId="5" applyFont="1"/>
    <xf numFmtId="0" fontId="21" fillId="0" borderId="0" xfId="5" applyFont="1"/>
    <xf numFmtId="0" fontId="10" fillId="0" borderId="0" xfId="5"/>
    <xf numFmtId="0" fontId="17" fillId="0" borderId="0" xfId="5" applyFont="1" applyAlignment="1">
      <alignment horizontal="center"/>
    </xf>
    <xf numFmtId="0" fontId="10" fillId="0" borderId="0" xfId="5" applyAlignment="1">
      <alignment horizontal="center"/>
    </xf>
    <xf numFmtId="166" fontId="10" fillId="0" borderId="0" xfId="5" applyNumberFormat="1"/>
    <xf numFmtId="167" fontId="10" fillId="2" borderId="0" xfId="5" applyNumberFormat="1" applyFill="1"/>
    <xf numFmtId="0" fontId="20" fillId="0" borderId="0" xfId="5" applyFont="1"/>
    <xf numFmtId="0" fontId="45" fillId="0" borderId="0" xfId="5" applyFont="1"/>
    <xf numFmtId="167" fontId="10" fillId="0" borderId="0" xfId="5" applyNumberFormat="1"/>
    <xf numFmtId="166" fontId="47" fillId="0" borderId="0" xfId="5" applyNumberFormat="1" applyFont="1"/>
    <xf numFmtId="175" fontId="10" fillId="0" borderId="0" xfId="5" applyNumberFormat="1"/>
    <xf numFmtId="175" fontId="9" fillId="2" borderId="0" xfId="5" applyNumberFormat="1" applyFont="1" applyFill="1"/>
    <xf numFmtId="175" fontId="10" fillId="2" borderId="0" xfId="5" applyNumberFormat="1" applyFill="1"/>
    <xf numFmtId="0" fontId="17" fillId="0" borderId="0" xfId="5" applyFont="1" applyAlignment="1">
      <alignment horizontal="center" wrapText="1"/>
    </xf>
    <xf numFmtId="0" fontId="42" fillId="0" borderId="0" xfId="40"/>
    <xf numFmtId="0" fontId="5" fillId="6" borderId="0" xfId="36" applyFill="1"/>
    <xf numFmtId="0" fontId="5" fillId="0" borderId="0" xfId="36"/>
    <xf numFmtId="0" fontId="53" fillId="6" borderId="46" xfId="0" applyFont="1" applyFill="1" applyBorder="1" applyProtection="1">
      <protection locked="0"/>
    </xf>
    <xf numFmtId="0" fontId="53" fillId="6" borderId="47" xfId="0" applyFont="1" applyFill="1" applyBorder="1" applyProtection="1">
      <protection locked="0"/>
    </xf>
    <xf numFmtId="0" fontId="51" fillId="7" borderId="48" xfId="0" applyFont="1" applyFill="1" applyBorder="1"/>
    <xf numFmtId="0" fontId="42" fillId="8" borderId="49" xfId="40" applyFill="1" applyBorder="1" applyAlignment="1"/>
    <xf numFmtId="0" fontId="42" fillId="8" borderId="50" xfId="40" applyFill="1" applyBorder="1" applyAlignment="1"/>
    <xf numFmtId="0" fontId="10" fillId="2" borderId="0" xfId="5" applyFill="1" applyAlignment="1">
      <alignment horizontal="center"/>
    </xf>
    <xf numFmtId="166" fontId="10" fillId="2" borderId="0" xfId="5" applyNumberFormat="1" applyFill="1"/>
    <xf numFmtId="166" fontId="31" fillId="2" borderId="0" xfId="5" applyNumberFormat="1" applyFont="1" applyFill="1"/>
    <xf numFmtId="0" fontId="0" fillId="0" borderId="0" xfId="0" applyFill="1"/>
    <xf numFmtId="0" fontId="38" fillId="0" borderId="0" xfId="0" applyFont="1" applyFill="1" applyAlignment="1">
      <alignment vertical="center"/>
    </xf>
    <xf numFmtId="0" fontId="5" fillId="0" borderId="0" xfId="36" applyAlignment="1">
      <alignment horizontal="right"/>
    </xf>
    <xf numFmtId="0" fontId="9" fillId="0" borderId="0" xfId="0" applyFont="1" applyFill="1"/>
    <xf numFmtId="0" fontId="10" fillId="0" borderId="0" xfId="0" applyFont="1" applyFill="1"/>
    <xf numFmtId="0" fontId="36" fillId="0" borderId="0" xfId="36" applyFont="1"/>
    <xf numFmtId="0" fontId="10" fillId="0" borderId="0" xfId="0" applyFont="1" applyFill="1" applyProtection="1">
      <protection locked="0"/>
    </xf>
    <xf numFmtId="0" fontId="10" fillId="0" borderId="0" xfId="0" applyFont="1" applyFill="1" applyAlignment="1" applyProtection="1">
      <alignment horizontal="center"/>
      <protection locked="0"/>
    </xf>
    <xf numFmtId="0" fontId="12" fillId="0" borderId="0" xfId="0" applyFont="1" applyFill="1" applyAlignment="1" applyProtection="1">
      <alignment horizontal="right"/>
      <protection locked="0"/>
    </xf>
    <xf numFmtId="9" fontId="12" fillId="0" borderId="0" xfId="3" applyFont="1" applyFill="1" applyAlignment="1" applyProtection="1">
      <alignment horizontal="center"/>
      <protection locked="0"/>
    </xf>
    <xf numFmtId="0" fontId="10" fillId="0" borderId="17" xfId="0" applyFont="1" applyFill="1" applyBorder="1" applyAlignment="1" applyProtection="1">
      <alignment horizontal="left"/>
      <protection locked="0"/>
    </xf>
    <xf numFmtId="0" fontId="10" fillId="0" borderId="38" xfId="0" applyFont="1" applyFill="1" applyBorder="1" applyAlignment="1" applyProtection="1">
      <alignment horizontal="left"/>
      <protection locked="0"/>
    </xf>
    <xf numFmtId="0" fontId="10" fillId="0" borderId="43" xfId="0" applyFont="1" applyFill="1" applyBorder="1" applyProtection="1">
      <protection locked="0"/>
    </xf>
    <xf numFmtId="0" fontId="10" fillId="0" borderId="38" xfId="0" applyFont="1" applyFill="1" applyBorder="1" applyProtection="1">
      <protection locked="0"/>
    </xf>
    <xf numFmtId="9" fontId="10" fillId="0" borderId="43" xfId="3" applyFont="1" applyFill="1" applyBorder="1" applyAlignment="1" applyProtection="1">
      <alignment horizontal="center"/>
      <protection locked="0"/>
    </xf>
    <xf numFmtId="0" fontId="0" fillId="0" borderId="0" xfId="0" applyFill="1" applyAlignment="1">
      <alignment horizontal="center"/>
    </xf>
    <xf numFmtId="0" fontId="10" fillId="0" borderId="44" xfId="0" applyFont="1" applyFill="1" applyBorder="1" applyProtection="1">
      <protection locked="0"/>
    </xf>
    <xf numFmtId="0" fontId="10" fillId="0" borderId="0" xfId="0" applyFont="1" applyFill="1" applyBorder="1" applyProtection="1">
      <protection locked="0"/>
    </xf>
    <xf numFmtId="0" fontId="10" fillId="0" borderId="11" xfId="0" applyFont="1" applyFill="1" applyBorder="1" applyAlignment="1" applyProtection="1">
      <alignment horizontal="center"/>
      <protection locked="0"/>
    </xf>
    <xf numFmtId="0" fontId="10" fillId="0" borderId="44"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2" fontId="10" fillId="0" borderId="13" xfId="0" applyNumberFormat="1" applyFont="1" applyFill="1" applyBorder="1" applyAlignment="1" applyProtection="1">
      <alignment horizontal="center"/>
      <protection locked="0"/>
    </xf>
    <xf numFmtId="2" fontId="10" fillId="0" borderId="6" xfId="0" applyNumberFormat="1" applyFont="1" applyFill="1" applyBorder="1" applyAlignment="1" applyProtection="1">
      <alignment horizontal="center"/>
      <protection locked="0"/>
    </xf>
    <xf numFmtId="166" fontId="10" fillId="0" borderId="14" xfId="0" applyNumberFormat="1" applyFont="1" applyFill="1" applyBorder="1" applyAlignment="1" applyProtection="1">
      <alignment horizontal="center"/>
      <protection locked="0"/>
    </xf>
    <xf numFmtId="166" fontId="10" fillId="0" borderId="13" xfId="0" applyNumberFormat="1" applyFont="1" applyFill="1" applyBorder="1" applyAlignment="1" applyProtection="1">
      <alignment horizontal="center"/>
      <protection locked="0"/>
    </xf>
    <xf numFmtId="166" fontId="10" fillId="0" borderId="6" xfId="0" applyNumberFormat="1" applyFont="1" applyFill="1" applyBorder="1" applyAlignment="1" applyProtection="1">
      <alignment horizontal="center"/>
      <protection locked="0"/>
    </xf>
    <xf numFmtId="0" fontId="10" fillId="0" borderId="14" xfId="0" applyFont="1" applyFill="1" applyBorder="1" applyAlignment="1" applyProtection="1">
      <alignment horizontal="center"/>
      <protection locked="0"/>
    </xf>
    <xf numFmtId="166" fontId="31" fillId="0" borderId="13" xfId="0" applyNumberFormat="1" applyFont="1" applyFill="1" applyBorder="1" applyAlignment="1" applyProtection="1">
      <alignment horizontal="center"/>
      <protection locked="0"/>
    </xf>
    <xf numFmtId="166" fontId="31" fillId="0" borderId="6" xfId="0" applyNumberFormat="1" applyFont="1" applyFill="1" applyBorder="1" applyAlignment="1" applyProtection="1">
      <alignment horizontal="center"/>
      <protection locked="0"/>
    </xf>
    <xf numFmtId="166" fontId="31" fillId="0" borderId="14" xfId="0" applyNumberFormat="1" applyFont="1" applyFill="1" applyBorder="1" applyAlignment="1" applyProtection="1">
      <alignment horizontal="center"/>
      <protection locked="0"/>
    </xf>
    <xf numFmtId="174" fontId="10" fillId="0" borderId="0" xfId="0" applyNumberFormat="1" applyFont="1" applyFill="1"/>
    <xf numFmtId="0" fontId="14" fillId="0" borderId="0" xfId="0" applyFont="1" applyFill="1" applyBorder="1" applyAlignment="1" applyProtection="1">
      <alignment horizontal="center"/>
      <protection locked="0"/>
    </xf>
    <xf numFmtId="0" fontId="14" fillId="0" borderId="9" xfId="0" applyFont="1" applyFill="1" applyBorder="1" applyProtection="1">
      <protection locked="0"/>
    </xf>
    <xf numFmtId="0" fontId="9" fillId="0" borderId="40" xfId="0" applyFont="1" applyFill="1" applyBorder="1" applyAlignment="1" applyProtection="1">
      <alignment horizontal="centerContinuous"/>
      <protection locked="0"/>
    </xf>
    <xf numFmtId="0" fontId="9" fillId="0" borderId="40" xfId="0" applyFont="1" applyFill="1" applyBorder="1" applyAlignment="1" applyProtection="1">
      <alignment horizontal="center" vertical="center" wrapText="1"/>
      <protection locked="0"/>
    </xf>
    <xf numFmtId="0" fontId="10" fillId="0" borderId="0" xfId="0" applyFont="1" applyFill="1" applyAlignment="1">
      <alignment horizontal="center"/>
    </xf>
    <xf numFmtId="39" fontId="15" fillId="0" borderId="5" xfId="1" applyNumberFormat="1" applyFont="1" applyFill="1" applyBorder="1" applyAlignment="1" applyProtection="1">
      <alignment horizontal="center"/>
      <protection locked="0"/>
    </xf>
    <xf numFmtId="39" fontId="15" fillId="0" borderId="0" xfId="1" applyNumberFormat="1" applyFont="1" applyFill="1" applyBorder="1" applyAlignment="1" applyProtection="1">
      <alignment horizontal="center"/>
      <protection locked="0"/>
    </xf>
    <xf numFmtId="170" fontId="15" fillId="0" borderId="24" xfId="2" applyNumberFormat="1" applyFont="1" applyFill="1" applyBorder="1" applyAlignment="1" applyProtection="1">
      <alignment horizontal="center"/>
      <protection locked="0"/>
    </xf>
    <xf numFmtId="39" fontId="15" fillId="0" borderId="24" xfId="1" applyNumberFormat="1" applyFont="1" applyFill="1" applyBorder="1" applyAlignment="1" applyProtection="1">
      <alignment horizontal="center"/>
      <protection locked="0"/>
    </xf>
    <xf numFmtId="37" fontId="15" fillId="0" borderId="5" xfId="1" applyNumberFormat="1" applyFont="1" applyFill="1" applyBorder="1" applyAlignment="1" applyProtection="1">
      <alignment horizontal="center"/>
      <protection locked="0"/>
    </xf>
    <xf numFmtId="37" fontId="15" fillId="0" borderId="0" xfId="1" applyNumberFormat="1" applyFont="1" applyFill="1" applyBorder="1" applyAlignment="1" applyProtection="1">
      <alignment horizontal="center"/>
      <protection locked="0"/>
    </xf>
    <xf numFmtId="37" fontId="15" fillId="0" borderId="24" xfId="1" applyNumberFormat="1" applyFont="1" applyFill="1" applyBorder="1" applyAlignment="1" applyProtection="1">
      <alignment horizontal="center"/>
      <protection locked="0"/>
    </xf>
    <xf numFmtId="170" fontId="15" fillId="0" borderId="5" xfId="2" applyNumberFormat="1" applyFont="1" applyFill="1" applyBorder="1" applyAlignment="1" applyProtection="1">
      <alignment horizontal="center"/>
      <protection locked="0"/>
    </xf>
    <xf numFmtId="170" fontId="15" fillId="0" borderId="0" xfId="2" applyNumberFormat="1" applyFont="1" applyFill="1" applyBorder="1" applyAlignment="1" applyProtection="1">
      <alignment horizontal="center"/>
      <protection locked="0"/>
    </xf>
    <xf numFmtId="39" fontId="15" fillId="0" borderId="20" xfId="1" quotePrefix="1" applyNumberFormat="1" applyFont="1" applyFill="1" applyBorder="1" applyAlignment="1" applyProtection="1">
      <alignment horizontal="center"/>
      <protection locked="0"/>
    </xf>
    <xf numFmtId="39" fontId="15" fillId="0" borderId="8" xfId="1" quotePrefix="1" applyNumberFormat="1" applyFont="1" applyFill="1" applyBorder="1" applyAlignment="1" applyProtection="1">
      <alignment horizontal="center"/>
      <protection locked="0"/>
    </xf>
    <xf numFmtId="170" fontId="15" fillId="0" borderId="26" xfId="2" quotePrefix="1" applyNumberFormat="1" applyFont="1" applyFill="1" applyBorder="1" applyAlignment="1" applyProtection="1">
      <alignment horizontal="center"/>
      <protection locked="0"/>
    </xf>
    <xf numFmtId="39" fontId="15" fillId="0" borderId="26" xfId="1" quotePrefix="1" applyNumberFormat="1" applyFont="1" applyFill="1" applyBorder="1" applyAlignment="1" applyProtection="1">
      <alignment horizontal="center"/>
      <protection locked="0"/>
    </xf>
    <xf numFmtId="37" fontId="15" fillId="0" borderId="20" xfId="1" quotePrefix="1" applyNumberFormat="1" applyFont="1" applyFill="1" applyBorder="1" applyAlignment="1" applyProtection="1">
      <alignment horizontal="center"/>
      <protection locked="0"/>
    </xf>
    <xf numFmtId="37" fontId="15" fillId="0" borderId="26" xfId="1" quotePrefix="1" applyNumberFormat="1" applyFont="1" applyFill="1" applyBorder="1" applyAlignment="1" applyProtection="1">
      <alignment horizontal="center"/>
      <protection locked="0"/>
    </xf>
    <xf numFmtId="170" fontId="15" fillId="0" borderId="20" xfId="2" quotePrefix="1" applyNumberFormat="1" applyFont="1" applyFill="1" applyBorder="1" applyAlignment="1" applyProtection="1">
      <alignment horizontal="center"/>
      <protection locked="0"/>
    </xf>
    <xf numFmtId="39" fontId="9" fillId="0" borderId="22" xfId="1" quotePrefix="1" applyNumberFormat="1" applyFont="1" applyFill="1" applyBorder="1" applyAlignment="1" applyProtection="1">
      <alignment horizontal="center"/>
      <protection locked="0"/>
    </xf>
    <xf numFmtId="37" fontId="30" fillId="0" borderId="10" xfId="1" quotePrefix="1" applyNumberFormat="1" applyFont="1" applyFill="1" applyBorder="1" applyAlignment="1" applyProtection="1">
      <alignment horizontal="center"/>
      <protection locked="0"/>
    </xf>
    <xf numFmtId="164" fontId="9" fillId="0" borderId="23" xfId="2" quotePrefix="1" applyNumberFormat="1" applyFont="1" applyFill="1" applyBorder="1" applyAlignment="1" applyProtection="1">
      <alignment horizontal="center"/>
      <protection locked="0"/>
    </xf>
    <xf numFmtId="39" fontId="9" fillId="0" borderId="25" xfId="1" quotePrefix="1" applyNumberFormat="1" applyFont="1" applyFill="1" applyBorder="1" applyAlignment="1" applyProtection="1">
      <alignment horizontal="center"/>
      <protection locked="0"/>
    </xf>
    <xf numFmtId="37" fontId="30" fillId="0" borderId="0" xfId="1" quotePrefix="1" applyNumberFormat="1" applyFont="1" applyFill="1" applyBorder="1" applyAlignment="1" applyProtection="1">
      <alignment horizontal="center"/>
      <protection locked="0"/>
    </xf>
    <xf numFmtId="164" fontId="9" fillId="0" borderId="24" xfId="2" quotePrefix="1" applyNumberFormat="1" applyFont="1" applyFill="1" applyBorder="1" applyAlignment="1" applyProtection="1">
      <alignment horizontal="center"/>
      <protection locked="0"/>
    </xf>
    <xf numFmtId="39" fontId="9" fillId="0" borderId="25" xfId="1" applyNumberFormat="1" applyFont="1" applyFill="1" applyBorder="1" applyAlignment="1" applyProtection="1">
      <alignment horizontal="center"/>
      <protection locked="0"/>
    </xf>
    <xf numFmtId="37" fontId="30" fillId="0" borderId="0" xfId="1" applyNumberFormat="1" applyFont="1" applyFill="1" applyBorder="1" applyAlignment="1" applyProtection="1">
      <alignment horizontal="center"/>
      <protection locked="0"/>
    </xf>
    <xf numFmtId="173" fontId="9" fillId="0" borderId="24" xfId="1" applyNumberFormat="1" applyFont="1" applyFill="1" applyBorder="1" applyAlignment="1" applyProtection="1">
      <alignment horizontal="center"/>
      <protection locked="0"/>
    </xf>
    <xf numFmtId="167" fontId="0" fillId="0" borderId="0" xfId="0" applyNumberFormat="1" applyFill="1" applyAlignment="1">
      <alignment horizontal="center"/>
    </xf>
    <xf numFmtId="2" fontId="10" fillId="0" borderId="0" xfId="0" applyNumberFormat="1" applyFont="1" applyFill="1" applyAlignment="1">
      <alignment horizontal="center"/>
    </xf>
    <xf numFmtId="39" fontId="9" fillId="0" borderId="0" xfId="1" quotePrefix="1" applyNumberFormat="1" applyFont="1" applyFill="1" applyBorder="1" applyAlignment="1" applyProtection="1">
      <alignment horizontal="center"/>
      <protection locked="0"/>
    </xf>
    <xf numFmtId="173" fontId="9" fillId="0" borderId="24" xfId="2" quotePrefix="1" applyNumberFormat="1" applyFont="1" applyFill="1" applyBorder="1" applyAlignment="1" applyProtection="1">
      <alignment horizontal="center"/>
      <protection locked="0"/>
    </xf>
    <xf numFmtId="2" fontId="9" fillId="0" borderId="25" xfId="0" quotePrefix="1" applyNumberFormat="1" applyFont="1" applyFill="1" applyBorder="1" applyAlignment="1" applyProtection="1">
      <alignment horizontal="center"/>
      <protection locked="0"/>
    </xf>
    <xf numFmtId="2" fontId="9" fillId="0" borderId="0" xfId="0" quotePrefix="1" applyNumberFormat="1" applyFont="1" applyFill="1" applyBorder="1" applyAlignment="1" applyProtection="1">
      <alignment horizontal="center"/>
      <protection locked="0"/>
    </xf>
    <xf numFmtId="164" fontId="9" fillId="0" borderId="24" xfId="0" quotePrefix="1" applyNumberFormat="1" applyFont="1" applyFill="1" applyBorder="1" applyAlignment="1" applyProtection="1">
      <alignment horizontal="center"/>
      <protection locked="0"/>
    </xf>
    <xf numFmtId="2" fontId="9" fillId="0" borderId="35" xfId="0" quotePrefix="1" applyNumberFormat="1" applyFont="1" applyFill="1" applyBorder="1" applyAlignment="1" applyProtection="1">
      <alignment horizontal="center"/>
      <protection locked="0"/>
    </xf>
    <xf numFmtId="2" fontId="9" fillId="0" borderId="6" xfId="0" quotePrefix="1" applyNumberFormat="1" applyFont="1" applyFill="1" applyBorder="1" applyAlignment="1" applyProtection="1">
      <alignment horizontal="center"/>
      <protection locked="0"/>
    </xf>
    <xf numFmtId="164" fontId="9" fillId="0" borderId="31" xfId="0" quotePrefix="1" applyNumberFormat="1" applyFont="1" applyFill="1" applyBorder="1" applyAlignment="1" applyProtection="1">
      <alignment horizontal="center"/>
      <protection locked="0"/>
    </xf>
    <xf numFmtId="0" fontId="40" fillId="0" borderId="0" xfId="0" applyFont="1" applyFill="1" applyProtection="1">
      <protection locked="0"/>
    </xf>
    <xf numFmtId="0" fontId="40" fillId="0" borderId="0" xfId="0" applyFont="1" applyFill="1"/>
    <xf numFmtId="167" fontId="33" fillId="0" borderId="0" xfId="36" applyNumberFormat="1" applyFont="1" applyAlignment="1">
      <alignment horizontal="right"/>
    </xf>
    <xf numFmtId="166" fontId="33" fillId="0" borderId="0" xfId="36" applyNumberFormat="1" applyFont="1" applyAlignment="1">
      <alignment horizontal="right"/>
    </xf>
    <xf numFmtId="167" fontId="44" fillId="0" borderId="0" xfId="5" applyNumberFormat="1" applyFont="1" applyFill="1" applyBorder="1" applyProtection="1">
      <protection locked="0"/>
    </xf>
    <xf numFmtId="43" fontId="44" fillId="0" borderId="0" xfId="38" applyFont="1" applyFill="1" applyBorder="1" applyAlignment="1"/>
    <xf numFmtId="171" fontId="44" fillId="0" borderId="0" xfId="38" applyNumberFormat="1" applyFont="1" applyFill="1" applyBorder="1" applyAlignment="1"/>
    <xf numFmtId="0" fontId="33" fillId="0" borderId="0" xfId="36" applyFont="1" applyAlignment="1">
      <alignment horizontal="right"/>
    </xf>
    <xf numFmtId="167" fontId="44" fillId="0" borderId="44" xfId="5" applyNumberFormat="1" applyFont="1" applyFill="1" applyBorder="1" applyProtection="1">
      <protection locked="0"/>
    </xf>
    <xf numFmtId="167" fontId="33" fillId="0" borderId="44" xfId="36" applyNumberFormat="1" applyFont="1" applyBorder="1" applyAlignment="1">
      <alignment horizontal="right"/>
    </xf>
    <xf numFmtId="0" fontId="9" fillId="0" borderId="0" xfId="0" applyFont="1" applyFill="1" applyBorder="1" applyAlignment="1" applyProtection="1">
      <alignment horizontal="right"/>
      <protection locked="0"/>
    </xf>
    <xf numFmtId="0" fontId="43" fillId="0" borderId="0" xfId="0" applyFont="1" applyFill="1" applyBorder="1" applyAlignment="1">
      <alignment horizontal="center"/>
    </xf>
    <xf numFmtId="0" fontId="53" fillId="0" borderId="0" xfId="0" applyFont="1" applyFill="1" applyBorder="1" applyProtection="1">
      <protection locked="0"/>
    </xf>
    <xf numFmtId="0" fontId="50" fillId="0" borderId="0" xfId="0" applyFont="1" applyFill="1" applyBorder="1"/>
    <xf numFmtId="0" fontId="42" fillId="0" borderId="0" xfId="40" applyFill="1" applyBorder="1" applyAlignment="1"/>
    <xf numFmtId="0" fontId="10" fillId="0" borderId="15" xfId="0" applyFont="1" applyFill="1" applyBorder="1" applyAlignment="1" applyProtection="1">
      <alignment horizontal="right"/>
      <protection locked="0"/>
    </xf>
    <xf numFmtId="0" fontId="10" fillId="0" borderId="16" xfId="0" applyFont="1" applyFill="1" applyBorder="1" applyProtection="1">
      <protection locked="0"/>
    </xf>
    <xf numFmtId="0" fontId="10" fillId="0" borderId="43" xfId="0" applyFont="1" applyFill="1" applyBorder="1" applyAlignment="1" applyProtection="1">
      <alignment horizontal="center"/>
      <protection locked="0"/>
    </xf>
    <xf numFmtId="0" fontId="10" fillId="0" borderId="38" xfId="0" applyFont="1" applyFill="1" applyBorder="1" applyAlignment="1" applyProtection="1">
      <alignment horizontal="center"/>
      <protection locked="0"/>
    </xf>
    <xf numFmtId="0" fontId="10" fillId="0" borderId="18" xfId="0" applyFont="1" applyFill="1" applyBorder="1" applyAlignment="1" applyProtection="1">
      <alignment horizontal="right"/>
      <protection locked="0"/>
    </xf>
    <xf numFmtId="0" fontId="10" fillId="0" borderId="7" xfId="0" applyFont="1" applyFill="1" applyBorder="1" applyProtection="1">
      <protection locked="0"/>
    </xf>
    <xf numFmtId="9" fontId="24" fillId="0" borderId="0" xfId="3" applyFont="1" applyFill="1" applyBorder="1" applyAlignment="1" applyProtection="1">
      <alignment horizontal="center"/>
      <protection locked="0"/>
    </xf>
    <xf numFmtId="6" fontId="19" fillId="0" borderId="18" xfId="0" applyNumberFormat="1" applyFont="1" applyFill="1" applyBorder="1" applyAlignment="1" applyProtection="1">
      <alignment horizontal="right"/>
      <protection locked="0"/>
    </xf>
    <xf numFmtId="169" fontId="10" fillId="0" borderId="7" xfId="3" applyNumberFormat="1" applyFont="1" applyFill="1" applyBorder="1" applyAlignment="1" applyProtection="1">
      <alignment horizontal="center"/>
      <protection locked="0"/>
    </xf>
    <xf numFmtId="0" fontId="10" fillId="0" borderId="1" xfId="0" applyFont="1" applyFill="1" applyBorder="1" applyProtection="1">
      <protection locked="0"/>
    </xf>
    <xf numFmtId="0" fontId="14" fillId="0" borderId="45" xfId="0" applyFont="1" applyFill="1" applyBorder="1" applyProtection="1">
      <protection locked="0"/>
    </xf>
    <xf numFmtId="0" fontId="9" fillId="0" borderId="9" xfId="0" applyFont="1" applyFill="1" applyBorder="1" applyAlignment="1" applyProtection="1">
      <alignment horizontal="center" vertical="center"/>
      <protection locked="0"/>
    </xf>
    <xf numFmtId="0" fontId="9" fillId="0" borderId="19" xfId="0" applyFont="1" applyFill="1" applyBorder="1" applyProtection="1">
      <protection locked="0"/>
    </xf>
    <xf numFmtId="0" fontId="9" fillId="0" borderId="45" xfId="0" applyFont="1" applyFill="1" applyBorder="1" applyProtection="1">
      <protection locked="0"/>
    </xf>
    <xf numFmtId="0" fontId="9" fillId="0" borderId="9" xfId="0" applyFont="1" applyFill="1" applyBorder="1" applyAlignment="1" applyProtection="1">
      <alignment horizontal="center"/>
      <protection locked="0"/>
    </xf>
    <xf numFmtId="39" fontId="9" fillId="0" borderId="45" xfId="1" quotePrefix="1" applyNumberFormat="1"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39" fontId="9" fillId="0" borderId="27" xfId="1" applyNumberFormat="1" applyFont="1" applyFill="1" applyBorder="1" applyAlignment="1" applyProtection="1">
      <alignment horizontal="center"/>
      <protection locked="0"/>
    </xf>
    <xf numFmtId="39" fontId="9" fillId="0" borderId="28" xfId="1" applyNumberFormat="1" applyFont="1" applyFill="1" applyBorder="1" applyAlignment="1" applyProtection="1">
      <alignment horizontal="center"/>
      <protection locked="0"/>
    </xf>
    <xf numFmtId="39" fontId="9" fillId="0" borderId="0" xfId="1" applyNumberFormat="1" applyFont="1" applyFill="1" applyBorder="1" applyAlignment="1" applyProtection="1">
      <alignment horizontal="center"/>
      <protection locked="0"/>
    </xf>
    <xf numFmtId="0" fontId="9" fillId="0" borderId="29" xfId="0" quotePrefix="1" applyFont="1" applyFill="1" applyBorder="1" applyAlignment="1" applyProtection="1">
      <alignment horizontal="center"/>
      <protection locked="0"/>
    </xf>
    <xf numFmtId="39" fontId="9" fillId="0" borderId="30" xfId="1" applyNumberFormat="1" applyFont="1" applyFill="1" applyBorder="1" applyAlignment="1" applyProtection="1">
      <alignment horizontal="center"/>
      <protection locked="0"/>
    </xf>
    <xf numFmtId="39" fontId="9" fillId="0" borderId="8" xfId="1" applyNumberFormat="1" applyFont="1" applyFill="1" applyBorder="1" applyAlignment="1" applyProtection="1">
      <alignment horizontal="center"/>
      <protection locked="0"/>
    </xf>
    <xf numFmtId="165" fontId="9" fillId="0" borderId="42" xfId="0" applyNumberFormat="1" applyFont="1" applyFill="1" applyBorder="1" applyAlignment="1" applyProtection="1">
      <alignment horizontal="center"/>
      <protection locked="0"/>
    </xf>
    <xf numFmtId="39" fontId="9" fillId="0" borderId="21" xfId="1" applyNumberFormat="1" applyFont="1" applyFill="1" applyBorder="1" applyAlignment="1" applyProtection="1">
      <alignment horizontal="center"/>
      <protection locked="0"/>
    </xf>
    <xf numFmtId="172" fontId="9" fillId="0" borderId="21" xfId="1" applyNumberFormat="1" applyFont="1" applyFill="1" applyBorder="1" applyAlignment="1" applyProtection="1">
      <alignment horizontal="center"/>
      <protection locked="0"/>
    </xf>
    <xf numFmtId="172" fontId="9" fillId="0" borderId="10" xfId="1" applyNumberFormat="1" applyFont="1" applyFill="1" applyBorder="1" applyAlignment="1" applyProtection="1">
      <alignment horizontal="center"/>
      <protection locked="0"/>
    </xf>
    <xf numFmtId="165" fontId="9" fillId="0" borderId="2" xfId="0" applyNumberFormat="1" applyFont="1" applyFill="1" applyBorder="1" applyAlignment="1" applyProtection="1">
      <alignment horizontal="center"/>
      <protection locked="0"/>
    </xf>
    <xf numFmtId="39" fontId="9" fillId="0" borderId="3" xfId="1" applyNumberFormat="1" applyFont="1" applyFill="1" applyBorder="1" applyAlignment="1" applyProtection="1">
      <alignment horizontal="center"/>
      <protection locked="0"/>
    </xf>
    <xf numFmtId="172" fontId="9" fillId="0" borderId="33" xfId="1" applyNumberFormat="1" applyFont="1" applyFill="1" applyBorder="1" applyAlignment="1" applyProtection="1">
      <alignment horizontal="center"/>
      <protection locked="0"/>
    </xf>
    <xf numFmtId="172" fontId="9" fillId="0" borderId="0" xfId="1" applyNumberFormat="1" applyFont="1" applyFill="1" applyBorder="1" applyAlignment="1" applyProtection="1">
      <alignment horizontal="center"/>
      <protection locked="0"/>
    </xf>
    <xf numFmtId="172" fontId="9" fillId="0" borderId="3" xfId="1" applyNumberFormat="1" applyFont="1" applyFill="1" applyBorder="1" applyAlignment="1" applyProtection="1">
      <alignment horizontal="center"/>
      <protection locked="0"/>
    </xf>
    <xf numFmtId="167" fontId="9" fillId="0" borderId="0" xfId="0" applyNumberFormat="1" applyFont="1" applyFill="1" applyAlignment="1" applyProtection="1">
      <alignment horizontal="center"/>
      <protection locked="0"/>
    </xf>
    <xf numFmtId="167" fontId="9" fillId="0" borderId="3" xfId="0" applyNumberFormat="1" applyFont="1" applyFill="1" applyBorder="1" applyAlignment="1" applyProtection="1">
      <alignment horizontal="center"/>
      <protection locked="0"/>
    </xf>
    <xf numFmtId="167" fontId="9" fillId="0" borderId="0" xfId="0" applyNumberFormat="1" applyFont="1" applyFill="1" applyBorder="1" applyAlignment="1" applyProtection="1">
      <alignment horizontal="center"/>
      <protection locked="0"/>
    </xf>
    <xf numFmtId="165" fontId="9" fillId="0" borderId="34" xfId="0" applyNumberFormat="1" applyFont="1" applyFill="1" applyBorder="1" applyAlignment="1" applyProtection="1">
      <alignment horizontal="center"/>
      <protection locked="0"/>
    </xf>
    <xf numFmtId="167" fontId="9" fillId="0" borderId="32" xfId="0" applyNumberFormat="1" applyFont="1" applyFill="1" applyBorder="1" applyAlignment="1" applyProtection="1">
      <alignment horizontal="center"/>
      <protection locked="0"/>
    </xf>
    <xf numFmtId="167" fontId="9" fillId="0" borderId="37" xfId="0" applyNumberFormat="1" applyFont="1" applyFill="1" applyBorder="1" applyAlignment="1" applyProtection="1">
      <alignment horizontal="center"/>
      <protection locked="0"/>
    </xf>
    <xf numFmtId="167" fontId="9" fillId="0" borderId="6" xfId="0" applyNumberFormat="1" applyFont="1" applyFill="1" applyBorder="1" applyAlignment="1" applyProtection="1">
      <alignment horizontal="center"/>
      <protection locked="0"/>
    </xf>
    <xf numFmtId="165" fontId="10" fillId="0" borderId="0" xfId="0" applyNumberFormat="1" applyFont="1" applyFill="1" applyBorder="1" applyAlignment="1" applyProtection="1">
      <alignment horizontal="left"/>
      <protection locked="0"/>
    </xf>
    <xf numFmtId="0" fontId="41" fillId="0" borderId="0" xfId="0" applyFont="1" applyFill="1"/>
    <xf numFmtId="0" fontId="41" fillId="0" borderId="0" xfId="0" applyFont="1" applyFill="1" applyProtection="1">
      <protection locked="0"/>
    </xf>
    <xf numFmtId="167" fontId="40" fillId="0" borderId="0" xfId="0" applyNumberFormat="1" applyFont="1" applyFill="1"/>
    <xf numFmtId="0" fontId="49" fillId="0" borderId="48" xfId="0" applyFont="1" applyFill="1" applyBorder="1"/>
    <xf numFmtId="0" fontId="50" fillId="0" borderId="49" xfId="0" applyFont="1" applyFill="1" applyBorder="1"/>
    <xf numFmtId="0" fontId="11" fillId="0" borderId="4" xfId="0" applyFont="1" applyFill="1" applyBorder="1" applyAlignment="1" applyProtection="1">
      <alignment horizontal="center"/>
      <protection locked="0"/>
    </xf>
    <xf numFmtId="0" fontId="11" fillId="0" borderId="38"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63" fillId="0" borderId="0" xfId="36" applyFont="1"/>
    <xf numFmtId="171" fontId="63" fillId="0" borderId="0" xfId="36" applyNumberFormat="1" applyFont="1"/>
    <xf numFmtId="44" fontId="63" fillId="0" borderId="0" xfId="2" applyFont="1" applyFill="1" applyBorder="1" applyAlignment="1" applyProtection="1">
      <alignment horizontal="right"/>
    </xf>
    <xf numFmtId="43" fontId="62" fillId="0" borderId="0" xfId="1" applyFont="1" applyFill="1" applyBorder="1"/>
    <xf numFmtId="43" fontId="63" fillId="0" borderId="0" xfId="1" applyFont="1" applyFill="1" applyBorder="1"/>
    <xf numFmtId="0" fontId="64" fillId="4" borderId="0" xfId="0" applyFont="1" applyFill="1" applyBorder="1" applyAlignment="1">
      <alignment horizontal="centerContinuous"/>
    </xf>
    <xf numFmtId="167" fontId="64" fillId="4" borderId="0" xfId="0" applyNumberFormat="1" applyFont="1" applyFill="1" applyBorder="1" applyAlignment="1" applyProtection="1">
      <alignment horizontal="right"/>
      <protection hidden="1"/>
    </xf>
    <xf numFmtId="171" fontId="65" fillId="4" borderId="0" xfId="1" applyNumberFormat="1" applyFont="1" applyFill="1" applyBorder="1" applyAlignment="1" applyProtection="1">
      <alignment horizontal="right"/>
      <protection hidden="1"/>
    </xf>
    <xf numFmtId="6" fontId="65" fillId="4" borderId="0" xfId="2" applyNumberFormat="1" applyFont="1" applyFill="1" applyBorder="1" applyAlignment="1" applyProtection="1">
      <alignment horizontal="right"/>
      <protection hidden="1"/>
    </xf>
    <xf numFmtId="44" fontId="65" fillId="4" borderId="0" xfId="2" applyFont="1" applyFill="1" applyBorder="1" applyAlignment="1" applyProtection="1">
      <alignment horizontal="right"/>
      <protection hidden="1"/>
    </xf>
    <xf numFmtId="177" fontId="65" fillId="4" borderId="0" xfId="36" applyNumberFormat="1" applyFont="1" applyFill="1" applyProtection="1">
      <protection hidden="1"/>
    </xf>
    <xf numFmtId="0" fontId="65" fillId="4" borderId="0" xfId="36" applyFont="1" applyFill="1"/>
    <xf numFmtId="0" fontId="66" fillId="4" borderId="0" xfId="36" applyFont="1" applyFill="1"/>
    <xf numFmtId="171" fontId="65" fillId="4" borderId="0" xfId="38" applyNumberFormat="1" applyFont="1" applyFill="1" applyBorder="1" applyAlignment="1"/>
    <xf numFmtId="0" fontId="65" fillId="4" borderId="0" xfId="36" applyFont="1" applyFill="1" applyAlignment="1">
      <alignment horizontal="right"/>
    </xf>
    <xf numFmtId="167" fontId="65" fillId="4" borderId="0" xfId="36" applyNumberFormat="1" applyFont="1" applyFill="1"/>
    <xf numFmtId="0" fontId="67" fillId="4" borderId="0" xfId="36" applyFont="1" applyFill="1"/>
    <xf numFmtId="0" fontId="65" fillId="4" borderId="0" xfId="36" quotePrefix="1" applyFont="1" applyFill="1"/>
    <xf numFmtId="0" fontId="69" fillId="4" borderId="0" xfId="0" applyFont="1" applyFill="1"/>
    <xf numFmtId="166" fontId="37" fillId="10" borderId="0" xfId="5" applyNumberFormat="1" applyFont="1" applyFill="1" applyBorder="1" applyAlignment="1">
      <alignment horizontal="center"/>
    </xf>
    <xf numFmtId="0" fontId="55" fillId="0" borderId="48" xfId="0" applyFont="1" applyFill="1" applyBorder="1"/>
    <xf numFmtId="0" fontId="70" fillId="4" borderId="0" xfId="0" applyFont="1" applyFill="1" applyBorder="1" applyAlignment="1">
      <alignment horizontal="center" vertical="center" wrapText="1"/>
    </xf>
    <xf numFmtId="0" fontId="71" fillId="4" borderId="0" xfId="0" applyFont="1" applyFill="1" applyBorder="1" applyAlignment="1">
      <alignment horizontal="center" vertical="center" wrapText="1"/>
    </xf>
    <xf numFmtId="0" fontId="65" fillId="4" borderId="0" xfId="36" applyFont="1" applyFill="1" applyAlignment="1">
      <alignment wrapText="1"/>
    </xf>
    <xf numFmtId="166" fontId="33" fillId="0" borderId="44" xfId="36" applyNumberFormat="1" applyFont="1" applyBorder="1"/>
    <xf numFmtId="166" fontId="33" fillId="0" borderId="0" xfId="36" applyNumberFormat="1" applyFont="1"/>
    <xf numFmtId="167" fontId="33" fillId="0" borderId="0" xfId="36" applyNumberFormat="1" applyFont="1"/>
    <xf numFmtId="167" fontId="33" fillId="0" borderId="44" xfId="5" applyNumberFormat="1" applyFont="1" applyFill="1" applyBorder="1" applyProtection="1">
      <protection locked="0"/>
    </xf>
    <xf numFmtId="167" fontId="33" fillId="0" borderId="0" xfId="5" applyNumberFormat="1" applyFont="1" applyFill="1" applyBorder="1" applyProtection="1">
      <protection locked="0"/>
    </xf>
    <xf numFmtId="0" fontId="2" fillId="0" borderId="0" xfId="44"/>
    <xf numFmtId="0" fontId="54" fillId="0" borderId="0" xfId="44" applyFont="1"/>
    <xf numFmtId="0" fontId="36" fillId="4" borderId="0" xfId="44" applyFont="1" applyFill="1"/>
    <xf numFmtId="0" fontId="2" fillId="11" borderId="0" xfId="44" applyFill="1"/>
    <xf numFmtId="0" fontId="72" fillId="0" borderId="0" xfId="44" applyFont="1"/>
    <xf numFmtId="0" fontId="59" fillId="0" borderId="51" xfId="44" applyFont="1" applyBorder="1" applyAlignment="1">
      <alignment horizontal="center" vertical="center" wrapText="1"/>
    </xf>
    <xf numFmtId="0" fontId="60" fillId="0" borderId="51" xfId="44" applyFont="1" applyBorder="1" applyAlignment="1">
      <alignment horizontal="center" vertical="center" wrapText="1"/>
    </xf>
    <xf numFmtId="0" fontId="61" fillId="2" borderId="51" xfId="44" applyFont="1" applyFill="1" applyBorder="1" applyAlignment="1">
      <alignment horizontal="center" vertical="center" wrapText="1"/>
    </xf>
    <xf numFmtId="0" fontId="57" fillId="0" borderId="51" xfId="44" applyFont="1" applyBorder="1" applyAlignment="1">
      <alignment horizontal="center" vertical="center" wrapText="1"/>
    </xf>
    <xf numFmtId="0" fontId="64" fillId="4" borderId="0" xfId="0" applyFont="1" applyFill="1" applyBorder="1" applyAlignment="1" applyProtection="1">
      <alignment horizontal="right"/>
      <protection locked="0"/>
    </xf>
    <xf numFmtId="0" fontId="65" fillId="4" borderId="0" xfId="36" applyFont="1" applyFill="1" applyProtection="1">
      <protection locked="0"/>
    </xf>
    <xf numFmtId="0" fontId="64" fillId="4" borderId="0" xfId="0" applyFont="1" applyFill="1" applyBorder="1" applyAlignment="1">
      <alignment horizontal="right"/>
    </xf>
    <xf numFmtId="171" fontId="65" fillId="4" borderId="0" xfId="1" applyNumberFormat="1" applyFont="1" applyFill="1" applyBorder="1" applyAlignment="1" applyProtection="1">
      <alignment horizontal="right"/>
    </xf>
    <xf numFmtId="0" fontId="73" fillId="4" borderId="0" xfId="0" applyFont="1" applyFill="1" applyBorder="1"/>
    <xf numFmtId="44" fontId="65" fillId="4" borderId="0" xfId="2" applyFont="1" applyFill="1" applyBorder="1" applyAlignment="1" applyProtection="1">
      <alignment horizontal="right"/>
    </xf>
    <xf numFmtId="0" fontId="52" fillId="0" borderId="0" xfId="0" applyFont="1" applyFill="1" applyBorder="1" applyAlignment="1">
      <alignment horizontal="right"/>
    </xf>
    <xf numFmtId="7" fontId="65" fillId="4" borderId="0" xfId="2" applyNumberFormat="1" applyFont="1" applyFill="1" applyBorder="1" applyAlignment="1" applyProtection="1">
      <alignment horizontal="right"/>
    </xf>
    <xf numFmtId="0" fontId="5" fillId="10" borderId="0" xfId="36" applyFill="1"/>
    <xf numFmtId="0" fontId="36" fillId="10" borderId="0" xfId="36" applyFont="1" applyFill="1"/>
    <xf numFmtId="0" fontId="36" fillId="2" borderId="0" xfId="36" applyFont="1" applyFill="1"/>
    <xf numFmtId="0" fontId="56" fillId="12" borderId="48" xfId="0" applyFont="1" applyFill="1" applyBorder="1" applyAlignment="1">
      <alignment horizontal="right"/>
    </xf>
    <xf numFmtId="0" fontId="37" fillId="12" borderId="12" xfId="5" applyFont="1" applyFill="1" applyBorder="1"/>
    <xf numFmtId="0" fontId="52" fillId="12" borderId="48" xfId="0" applyFont="1" applyFill="1" applyBorder="1" applyAlignment="1">
      <alignment horizontal="right"/>
    </xf>
    <xf numFmtId="0" fontId="52" fillId="12" borderId="49" xfId="0" applyFont="1" applyFill="1" applyBorder="1" applyAlignment="1">
      <alignment horizontal="right"/>
    </xf>
    <xf numFmtId="0" fontId="36" fillId="13" borderId="0" xfId="36" applyFont="1" applyFill="1"/>
    <xf numFmtId="0" fontId="9" fillId="0" borderId="0" xfId="0" applyFont="1" applyFill="1" applyBorder="1" applyAlignment="1">
      <alignment horizontal="center"/>
    </xf>
    <xf numFmtId="2" fontId="33" fillId="0" borderId="0" xfId="36" applyNumberFormat="1" applyFont="1"/>
    <xf numFmtId="0" fontId="1" fillId="0" borderId="0" xfId="44" applyFont="1"/>
    <xf numFmtId="0" fontId="75" fillId="0" borderId="0" xfId="44" applyFont="1"/>
    <xf numFmtId="0" fontId="76" fillId="0" borderId="0" xfId="44" applyFont="1"/>
    <xf numFmtId="0" fontId="10" fillId="0" borderId="0" xfId="5" applyFill="1" applyAlignment="1">
      <alignment horizontal="center"/>
    </xf>
    <xf numFmtId="0" fontId="9" fillId="0" borderId="0" xfId="5" applyFont="1" applyFill="1" applyAlignment="1">
      <alignment horizontal="center"/>
    </xf>
    <xf numFmtId="4" fontId="9" fillId="0" borderId="0" xfId="5" applyNumberFormat="1" applyFont="1" applyFill="1" applyAlignment="1">
      <alignment horizontal="center"/>
    </xf>
    <xf numFmtId="0" fontId="10" fillId="0" borderId="0" xfId="5" applyFill="1"/>
    <xf numFmtId="0" fontId="10" fillId="0" borderId="0" xfId="5" applyAlignment="1">
      <alignment horizontal="left"/>
    </xf>
    <xf numFmtId="177" fontId="10" fillId="0" borderId="0" xfId="5" applyNumberFormat="1"/>
    <xf numFmtId="4" fontId="10" fillId="0" borderId="0" xfId="5" applyNumberFormat="1"/>
    <xf numFmtId="0" fontId="10" fillId="0" borderId="0" xfId="5" applyFill="1" applyBorder="1" applyAlignment="1">
      <alignment horizontal="left"/>
    </xf>
    <xf numFmtId="40" fontId="10" fillId="0" borderId="0" xfId="5" applyNumberFormat="1" applyFill="1" applyBorder="1"/>
    <xf numFmtId="177" fontId="10" fillId="0" borderId="0" xfId="5" applyNumberFormat="1" applyFill="1" applyBorder="1"/>
    <xf numFmtId="0" fontId="10" fillId="0" borderId="0" xfId="5" applyFill="1" applyBorder="1"/>
    <xf numFmtId="40" fontId="10" fillId="0" borderId="0" xfId="5" applyNumberFormat="1" applyFill="1" applyBorder="1" applyAlignment="1">
      <alignment horizontal="left"/>
    </xf>
    <xf numFmtId="40" fontId="77" fillId="0" borderId="0" xfId="5" applyNumberFormat="1" applyFont="1" applyFill="1" applyBorder="1" applyAlignment="1">
      <alignment horizontal="center"/>
    </xf>
    <xf numFmtId="177" fontId="10" fillId="0" borderId="0" xfId="5" applyNumberFormat="1" applyFill="1" applyBorder="1" applyAlignment="1">
      <alignment horizontal="left"/>
    </xf>
    <xf numFmtId="177" fontId="77" fillId="0" borderId="0" xfId="5" applyNumberFormat="1" applyFont="1" applyFill="1" applyBorder="1" applyAlignment="1">
      <alignment horizontal="center"/>
    </xf>
    <xf numFmtId="166" fontId="13" fillId="10" borderId="52" xfId="5" applyNumberFormat="1" applyFont="1" applyFill="1" applyBorder="1" applyAlignment="1" applyProtection="1">
      <alignment horizontal="left"/>
      <protection locked="0"/>
    </xf>
    <xf numFmtId="9" fontId="33" fillId="10" borderId="52" xfId="3" applyFont="1" applyFill="1" applyBorder="1"/>
    <xf numFmtId="166" fontId="16" fillId="10" borderId="52" xfId="5" applyNumberFormat="1" applyFont="1" applyFill="1" applyBorder="1" applyAlignment="1" applyProtection="1">
      <alignment horizontal="left"/>
      <protection locked="0"/>
    </xf>
    <xf numFmtId="9" fontId="37" fillId="10" borderId="52" xfId="3" applyFont="1" applyFill="1" applyBorder="1" applyAlignment="1">
      <alignment horizontal="center"/>
    </xf>
    <xf numFmtId="166" fontId="37" fillId="10" borderId="52" xfId="5" applyNumberFormat="1" applyFont="1" applyFill="1" applyBorder="1" applyAlignment="1">
      <alignment horizontal="center"/>
    </xf>
    <xf numFmtId="0" fontId="37" fillId="10" borderId="52" xfId="36" applyFont="1" applyFill="1" applyBorder="1"/>
    <xf numFmtId="167" fontId="33" fillId="10" borderId="52" xfId="5" applyNumberFormat="1" applyFont="1" applyFill="1" applyBorder="1"/>
    <xf numFmtId="2" fontId="33" fillId="10" borderId="52" xfId="5" applyNumberFormat="1" applyFont="1" applyFill="1" applyBorder="1"/>
    <xf numFmtId="167" fontId="74" fillId="10" borderId="52" xfId="5" applyNumberFormat="1" applyFont="1" applyFill="1" applyBorder="1"/>
    <xf numFmtId="0" fontId="1" fillId="0" borderId="0" xfId="36" applyFont="1" applyAlignment="1">
      <alignment horizontal="right"/>
    </xf>
    <xf numFmtId="167" fontId="33" fillId="10" borderId="52" xfId="36" applyNumberFormat="1" applyFont="1" applyFill="1" applyBorder="1"/>
    <xf numFmtId="166" fontId="33" fillId="10" borderId="52" xfId="36" applyNumberFormat="1" applyFont="1" applyFill="1" applyBorder="1"/>
    <xf numFmtId="166" fontId="33" fillId="0" borderId="53" xfId="36" applyNumberFormat="1" applyFont="1" applyBorder="1"/>
    <xf numFmtId="166" fontId="33" fillId="0" borderId="54" xfId="36" applyNumberFormat="1" applyFont="1" applyBorder="1"/>
    <xf numFmtId="0" fontId="37" fillId="10" borderId="52" xfId="5" applyFont="1" applyFill="1" applyBorder="1" applyProtection="1">
      <protection locked="0"/>
    </xf>
    <xf numFmtId="6" fontId="33" fillId="10" borderId="52" xfId="5" applyNumberFormat="1" applyFont="1" applyFill="1" applyBorder="1" applyProtection="1">
      <protection locked="0"/>
    </xf>
    <xf numFmtId="0" fontId="33" fillId="10" borderId="52" xfId="36" applyFont="1" applyFill="1" applyBorder="1"/>
    <xf numFmtId="167" fontId="33" fillId="10" borderId="52" xfId="36" applyNumberFormat="1" applyFont="1" applyFill="1" applyBorder="1" applyAlignment="1">
      <alignment horizontal="right"/>
    </xf>
    <xf numFmtId="167" fontId="33" fillId="10" borderId="52" xfId="5" applyNumberFormat="1" applyFont="1" applyFill="1" applyBorder="1" applyProtection="1">
      <protection locked="0"/>
    </xf>
    <xf numFmtId="0" fontId="37" fillId="10" borderId="52" xfId="5" applyFont="1" applyFill="1" applyBorder="1"/>
    <xf numFmtId="43" fontId="33" fillId="10" borderId="52" xfId="38" applyFont="1" applyFill="1" applyBorder="1" applyAlignment="1"/>
    <xf numFmtId="171" fontId="33" fillId="10" borderId="52" xfId="38" applyNumberFormat="1" applyFont="1" applyFill="1" applyBorder="1" applyAlignment="1"/>
    <xf numFmtId="166" fontId="33" fillId="10" borderId="52" xfId="38" applyNumberFormat="1" applyFont="1" applyFill="1" applyBorder="1" applyAlignment="1"/>
    <xf numFmtId="0" fontId="37" fillId="12" borderId="55" xfId="5" applyFont="1" applyFill="1" applyBorder="1"/>
    <xf numFmtId="43" fontId="33" fillId="12" borderId="52" xfId="38" applyFont="1" applyFill="1" applyBorder="1" applyAlignment="1">
      <alignment horizontal="right"/>
    </xf>
    <xf numFmtId="168" fontId="33" fillId="12" borderId="52" xfId="38" applyNumberFormat="1" applyFont="1" applyFill="1" applyBorder="1" applyAlignment="1">
      <alignment horizontal="right"/>
    </xf>
    <xf numFmtId="0" fontId="33" fillId="12" borderId="52" xfId="36" applyFont="1" applyFill="1" applyBorder="1"/>
    <xf numFmtId="167" fontId="33" fillId="12" borderId="52" xfId="36" applyNumberFormat="1" applyFont="1" applyFill="1" applyBorder="1" applyAlignment="1">
      <alignment horizontal="right"/>
    </xf>
    <xf numFmtId="0" fontId="1" fillId="6" borderId="0" xfId="36" applyFont="1" applyFill="1"/>
    <xf numFmtId="166" fontId="33" fillId="12" borderId="52" xfId="36" applyNumberFormat="1" applyFont="1" applyFill="1" applyBorder="1" applyAlignment="1">
      <alignment horizontal="right"/>
    </xf>
    <xf numFmtId="0" fontId="37" fillId="2" borderId="58" xfId="0" applyFont="1" applyFill="1" applyBorder="1"/>
    <xf numFmtId="0" fontId="9" fillId="2" borderId="59" xfId="0" applyFont="1" applyFill="1" applyBorder="1" applyAlignment="1" applyProtection="1">
      <alignment horizontal="right"/>
      <protection locked="0"/>
    </xf>
    <xf numFmtId="0" fontId="9" fillId="2" borderId="60" xfId="0" applyFont="1" applyFill="1" applyBorder="1" applyAlignment="1" applyProtection="1">
      <alignment horizontal="right"/>
      <protection locked="0"/>
    </xf>
    <xf numFmtId="0" fontId="44" fillId="6" borderId="58" xfId="36" applyFont="1" applyFill="1" applyBorder="1" applyProtection="1">
      <protection locked="0"/>
    </xf>
    <xf numFmtId="0" fontId="44" fillId="6" borderId="60" xfId="36" applyFont="1" applyFill="1" applyBorder="1" applyProtection="1">
      <protection locked="0"/>
    </xf>
    <xf numFmtId="0" fontId="52" fillId="0" borderId="61" xfId="0" applyFont="1" applyFill="1" applyBorder="1" applyAlignment="1">
      <alignment horizontal="right"/>
    </xf>
    <xf numFmtId="171" fontId="33" fillId="12" borderId="59" xfId="1" applyNumberFormat="1" applyFont="1" applyFill="1" applyBorder="1" applyAlignment="1" applyProtection="1">
      <alignment horizontal="right"/>
    </xf>
    <xf numFmtId="44" fontId="33" fillId="12" borderId="59" xfId="2" applyFont="1" applyFill="1" applyBorder="1" applyAlignment="1" applyProtection="1">
      <alignment horizontal="right"/>
    </xf>
    <xf numFmtId="0" fontId="9" fillId="0" borderId="54" xfId="0" applyFont="1" applyFill="1" applyBorder="1" applyAlignment="1" applyProtection="1">
      <alignment horizontal="centerContinuous"/>
      <protection locked="0"/>
    </xf>
    <xf numFmtId="39" fontId="9" fillId="0" borderId="54" xfId="1" quotePrefix="1" applyNumberFormat="1" applyFont="1" applyFill="1" applyBorder="1" applyAlignment="1" applyProtection="1">
      <alignment horizontal="center"/>
      <protection locked="0"/>
    </xf>
    <xf numFmtId="39" fontId="9" fillId="0" borderId="62" xfId="1" quotePrefix="1" applyNumberFormat="1" applyFont="1" applyFill="1" applyBorder="1" applyAlignment="1" applyProtection="1">
      <alignment horizontal="center"/>
      <protection locked="0"/>
    </xf>
    <xf numFmtId="39" fontId="9" fillId="0" borderId="63" xfId="1" quotePrefix="1" applyNumberFormat="1" applyFont="1" applyFill="1" applyBorder="1" applyAlignment="1" applyProtection="1">
      <alignment horizontal="center"/>
      <protection locked="0"/>
    </xf>
    <xf numFmtId="0" fontId="9" fillId="0" borderId="65" xfId="0" applyFont="1" applyFill="1" applyBorder="1" applyAlignment="1" applyProtection="1">
      <alignment horizontal="center" vertical="center"/>
      <protection locked="0"/>
    </xf>
    <xf numFmtId="0" fontId="9" fillId="0" borderId="65" xfId="0" applyFont="1" applyFill="1" applyBorder="1" applyAlignment="1" applyProtection="1">
      <alignment horizontal="center" vertical="center" wrapText="1"/>
      <protection locked="0"/>
    </xf>
    <xf numFmtId="0" fontId="10" fillId="0" borderId="65" xfId="0" applyFont="1" applyFill="1" applyBorder="1" applyAlignment="1">
      <alignment horizontal="center" vertical="center" wrapText="1"/>
    </xf>
    <xf numFmtId="0" fontId="9" fillId="0" borderId="66" xfId="0" applyFont="1" applyFill="1" applyBorder="1" applyAlignment="1" applyProtection="1">
      <alignment horizontal="center"/>
      <protection locked="0"/>
    </xf>
    <xf numFmtId="0" fontId="9" fillId="0" borderId="66" xfId="0" applyFont="1" applyFill="1" applyBorder="1" applyAlignment="1" applyProtection="1">
      <alignment horizontal="left"/>
      <protection locked="0"/>
    </xf>
    <xf numFmtId="39" fontId="15" fillId="0" borderId="68" xfId="1" applyNumberFormat="1" applyFont="1" applyFill="1" applyBorder="1" applyAlignment="1" applyProtection="1">
      <alignment horizontal="center"/>
      <protection locked="0"/>
    </xf>
    <xf numFmtId="39" fontId="15" fillId="0" borderId="54" xfId="1" applyNumberFormat="1" applyFont="1" applyFill="1" applyBorder="1" applyAlignment="1" applyProtection="1">
      <alignment horizontal="center"/>
      <protection locked="0"/>
    </xf>
    <xf numFmtId="170" fontId="15" fillId="0" borderId="69" xfId="2" applyNumberFormat="1" applyFont="1" applyFill="1" applyBorder="1" applyAlignment="1" applyProtection="1">
      <alignment horizontal="center"/>
      <protection locked="0"/>
    </xf>
    <xf numFmtId="39" fontId="15" fillId="0" borderId="66" xfId="1" applyNumberFormat="1" applyFont="1" applyFill="1" applyBorder="1" applyAlignment="1" applyProtection="1">
      <alignment horizontal="center"/>
      <protection locked="0"/>
    </xf>
    <xf numFmtId="39" fontId="15" fillId="0" borderId="69" xfId="1" applyNumberFormat="1" applyFont="1" applyFill="1" applyBorder="1" applyAlignment="1" applyProtection="1">
      <alignment horizontal="center"/>
      <protection locked="0"/>
    </xf>
    <xf numFmtId="37" fontId="15" fillId="0" borderId="66" xfId="1" applyNumberFormat="1" applyFont="1" applyFill="1" applyBorder="1" applyAlignment="1" applyProtection="1">
      <alignment horizontal="center"/>
      <protection locked="0"/>
    </xf>
    <xf numFmtId="37" fontId="15" fillId="0" borderId="54" xfId="1" applyNumberFormat="1" applyFont="1" applyFill="1" applyBorder="1" applyAlignment="1" applyProtection="1">
      <alignment horizontal="center"/>
      <protection locked="0"/>
    </xf>
    <xf numFmtId="37" fontId="15" fillId="0" borderId="69" xfId="1" applyNumberFormat="1" applyFont="1" applyFill="1" applyBorder="1" applyAlignment="1" applyProtection="1">
      <alignment horizontal="center"/>
      <protection locked="0"/>
    </xf>
    <xf numFmtId="170" fontId="15" fillId="0" borderId="66" xfId="2" applyNumberFormat="1" applyFont="1" applyFill="1" applyBorder="1" applyAlignment="1" applyProtection="1">
      <alignment horizontal="center"/>
      <protection locked="0"/>
    </xf>
    <xf numFmtId="170" fontId="15" fillId="0" borderId="54" xfId="2" applyNumberFormat="1" applyFont="1" applyFill="1" applyBorder="1" applyAlignment="1" applyProtection="1">
      <alignment horizontal="center"/>
      <protection locked="0"/>
    </xf>
    <xf numFmtId="0" fontId="1" fillId="0" borderId="0" xfId="36" applyFont="1"/>
    <xf numFmtId="167" fontId="10" fillId="2" borderId="45" xfId="5" applyNumberFormat="1" applyFill="1" applyBorder="1"/>
    <xf numFmtId="176" fontId="10" fillId="2" borderId="45" xfId="5" applyNumberFormat="1" applyFill="1" applyBorder="1"/>
    <xf numFmtId="0" fontId="2" fillId="9" borderId="52" xfId="44" applyFill="1" applyBorder="1"/>
    <xf numFmtId="0" fontId="2" fillId="11" borderId="52" xfId="44" applyFill="1" applyBorder="1"/>
    <xf numFmtId="0" fontId="2" fillId="4" borderId="52" xfId="44" applyFill="1" applyBorder="1"/>
    <xf numFmtId="0" fontId="2" fillId="14" borderId="52" xfId="44" applyFill="1" applyBorder="1"/>
    <xf numFmtId="0" fontId="32" fillId="11" borderId="52" xfId="44" applyFont="1" applyFill="1" applyBorder="1"/>
    <xf numFmtId="0" fontId="2" fillId="9" borderId="52" xfId="44" applyFill="1" applyBorder="1" applyAlignment="1">
      <alignment wrapText="1"/>
    </xf>
    <xf numFmtId="0" fontId="1" fillId="11" borderId="52" xfId="44" applyFont="1" applyFill="1" applyBorder="1" applyAlignment="1">
      <alignment wrapText="1"/>
    </xf>
    <xf numFmtId="0" fontId="2" fillId="4" borderId="52" xfId="44" applyFill="1" applyBorder="1" applyAlignment="1">
      <alignment wrapText="1"/>
    </xf>
    <xf numFmtId="0" fontId="2" fillId="11" borderId="52" xfId="44" applyFill="1" applyBorder="1" applyAlignment="1">
      <alignment wrapText="1"/>
    </xf>
    <xf numFmtId="0" fontId="1" fillId="14" borderId="52" xfId="44" applyFont="1" applyFill="1" applyBorder="1" applyAlignment="1">
      <alignment wrapText="1"/>
    </xf>
    <xf numFmtId="0" fontId="32" fillId="11" borderId="52" xfId="44" applyFont="1" applyFill="1" applyBorder="1" applyAlignment="1">
      <alignment wrapText="1"/>
    </xf>
    <xf numFmtId="0" fontId="1" fillId="9" borderId="52" xfId="44" applyFont="1" applyFill="1" applyBorder="1"/>
    <xf numFmtId="9" fontId="2" fillId="9" borderId="52" xfId="44" applyNumberFormat="1" applyFill="1" applyBorder="1"/>
    <xf numFmtId="167" fontId="58" fillId="4" borderId="52" xfId="44" applyNumberFormat="1" applyFont="1" applyFill="1" applyBorder="1"/>
    <xf numFmtId="167" fontId="32" fillId="14" borderId="52" xfId="44" applyNumberFormat="1" applyFont="1" applyFill="1" applyBorder="1"/>
    <xf numFmtId="0" fontId="32" fillId="9" borderId="52" xfId="44" applyFont="1" applyFill="1" applyBorder="1"/>
    <xf numFmtId="0" fontId="32" fillId="14" borderId="52" xfId="44" applyFont="1" applyFill="1" applyBorder="1"/>
    <xf numFmtId="0" fontId="32" fillId="4" borderId="52" xfId="44" applyFont="1" applyFill="1" applyBorder="1"/>
    <xf numFmtId="167" fontId="32" fillId="9" borderId="52" xfId="44" applyNumberFormat="1" applyFont="1" applyFill="1" applyBorder="1"/>
    <xf numFmtId="2" fontId="58" fillId="4" borderId="52" xfId="44" applyNumberFormat="1" applyFont="1" applyFill="1" applyBorder="1"/>
    <xf numFmtId="2" fontId="32" fillId="11" borderId="52" xfId="44" applyNumberFormat="1" applyFont="1" applyFill="1" applyBorder="1"/>
    <xf numFmtId="0" fontId="58" fillId="4" borderId="52" xfId="44" applyFont="1" applyFill="1" applyBorder="1"/>
    <xf numFmtId="0" fontId="9" fillId="0" borderId="52" xfId="0" applyFont="1" applyBorder="1" applyAlignment="1">
      <alignment horizontal="center"/>
    </xf>
    <xf numFmtId="14" fontId="0" fillId="0" borderId="52" xfId="0" applyNumberFormat="1" applyBorder="1"/>
    <xf numFmtId="0" fontId="10" fillId="0" borderId="52" xfId="0" applyFont="1" applyBorder="1"/>
    <xf numFmtId="0" fontId="0" fillId="0" borderId="52" xfId="0" applyBorder="1"/>
    <xf numFmtId="0" fontId="9" fillId="0" borderId="52" xfId="5" applyFont="1" applyBorder="1"/>
    <xf numFmtId="0" fontId="9" fillId="0" borderId="52" xfId="5" applyFont="1" applyBorder="1" applyAlignment="1">
      <alignment horizontal="centerContinuous"/>
    </xf>
    <xf numFmtId="0" fontId="10" fillId="0" borderId="52" xfId="5" applyFill="1" applyBorder="1"/>
    <xf numFmtId="0" fontId="10" fillId="10" borderId="52" xfId="5" applyFill="1" applyBorder="1" applyAlignment="1">
      <alignment horizontal="left"/>
    </xf>
    <xf numFmtId="40" fontId="10" fillId="10" borderId="52" xfId="5" applyNumberFormat="1" applyFill="1" applyBorder="1" applyAlignment="1">
      <alignment horizontal="left"/>
    </xf>
    <xf numFmtId="40" fontId="77" fillId="4" borderId="52" xfId="5" applyNumberFormat="1" applyFont="1" applyFill="1" applyBorder="1" applyAlignment="1">
      <alignment horizontal="center"/>
    </xf>
    <xf numFmtId="177" fontId="10" fillId="10" borderId="52" xfId="5" applyNumberFormat="1" applyFill="1" applyBorder="1" applyAlignment="1">
      <alignment horizontal="left"/>
    </xf>
    <xf numFmtId="177" fontId="77" fillId="4" borderId="52" xfId="5" applyNumberFormat="1" applyFont="1" applyFill="1" applyBorder="1" applyAlignment="1">
      <alignment horizontal="center"/>
    </xf>
    <xf numFmtId="0" fontId="10" fillId="0" borderId="52" xfId="5" applyFill="1" applyBorder="1" applyAlignment="1">
      <alignment horizontal="left"/>
    </xf>
    <xf numFmtId="40" fontId="10" fillId="0" borderId="52" xfId="5" applyNumberFormat="1" applyFill="1" applyBorder="1" applyAlignment="1">
      <alignment horizontal="left"/>
    </xf>
    <xf numFmtId="40" fontId="77" fillId="0" borderId="52" xfId="5" applyNumberFormat="1" applyFont="1" applyFill="1" applyBorder="1" applyAlignment="1">
      <alignment horizontal="center"/>
    </xf>
    <xf numFmtId="177" fontId="10" fillId="0" borderId="52" xfId="5" applyNumberFormat="1" applyFill="1" applyBorder="1" applyAlignment="1">
      <alignment horizontal="left"/>
    </xf>
    <xf numFmtId="177" fontId="77" fillId="0" borderId="52" xfId="5" applyNumberFormat="1" applyFont="1" applyFill="1" applyBorder="1" applyAlignment="1">
      <alignment horizontal="center"/>
    </xf>
    <xf numFmtId="0" fontId="10" fillId="0" borderId="52" xfId="5" applyBorder="1"/>
    <xf numFmtId="177" fontId="10" fillId="0" borderId="52" xfId="5" applyNumberFormat="1" applyBorder="1"/>
    <xf numFmtId="0" fontId="10" fillId="13" borderId="52" xfId="5" applyFill="1" applyBorder="1" applyAlignment="1">
      <alignment horizontal="left"/>
    </xf>
    <xf numFmtId="40" fontId="10" fillId="13" borderId="52" xfId="5" applyNumberFormat="1" applyFill="1" applyBorder="1"/>
    <xf numFmtId="177" fontId="10" fillId="13" borderId="52" xfId="5" applyNumberFormat="1" applyFill="1" applyBorder="1"/>
    <xf numFmtId="0" fontId="10" fillId="0" borderId="52" xfId="5" applyFill="1" applyBorder="1" applyAlignment="1">
      <alignment wrapText="1"/>
    </xf>
    <xf numFmtId="40" fontId="78" fillId="13" borderId="52" xfId="5" applyNumberFormat="1" applyFont="1" applyFill="1" applyBorder="1"/>
    <xf numFmtId="177" fontId="78" fillId="13" borderId="52" xfId="5" applyNumberFormat="1" applyFont="1" applyFill="1" applyBorder="1"/>
    <xf numFmtId="40" fontId="10" fillId="0" borderId="52" xfId="5" applyNumberFormat="1" applyFill="1" applyBorder="1"/>
    <xf numFmtId="177" fontId="10" fillId="0" borderId="52" xfId="5" applyNumberFormat="1" applyFill="1" applyBorder="1"/>
    <xf numFmtId="0" fontId="77" fillId="11" borderId="52" xfId="5" applyFont="1" applyFill="1" applyBorder="1"/>
    <xf numFmtId="40" fontId="77" fillId="11" borderId="52" xfId="5" applyNumberFormat="1" applyFont="1" applyFill="1" applyBorder="1"/>
    <xf numFmtId="40" fontId="77" fillId="0" borderId="52" xfId="5" applyNumberFormat="1" applyFont="1" applyFill="1" applyBorder="1"/>
    <xf numFmtId="0" fontId="9" fillId="0" borderId="52" xfId="5" applyFont="1" applyFill="1" applyBorder="1"/>
    <xf numFmtId="0" fontId="48" fillId="0" borderId="0" xfId="0" applyFont="1" applyFill="1" applyAlignment="1">
      <alignment horizontal="left" vertical="center"/>
    </xf>
    <xf numFmtId="0" fontId="37" fillId="12" borderId="56" xfId="36" applyFont="1" applyFill="1" applyBorder="1" applyAlignment="1">
      <alignment horizontal="center"/>
    </xf>
    <xf numFmtId="0" fontId="10" fillId="12" borderId="57" xfId="0" applyFont="1" applyFill="1" applyBorder="1" applyAlignment="1">
      <alignment horizontal="center"/>
    </xf>
    <xf numFmtId="0" fontId="68" fillId="4" borderId="0" xfId="0" applyFont="1" applyFill="1" applyAlignment="1">
      <alignment horizontal="left" vertical="center"/>
    </xf>
    <xf numFmtId="0" fontId="9" fillId="0" borderId="41" xfId="0"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66" xfId="0" applyFont="1" applyFill="1" applyBorder="1" applyAlignment="1" applyProtection="1">
      <alignment horizontal="center"/>
      <protection locked="0"/>
    </xf>
    <xf numFmtId="0" fontId="9" fillId="0" borderId="54" xfId="0" applyFont="1" applyFill="1" applyBorder="1" applyAlignment="1" applyProtection="1">
      <alignment horizontal="center"/>
      <protection locked="0"/>
    </xf>
    <xf numFmtId="0" fontId="9" fillId="0" borderId="67" xfId="0" applyFont="1" applyFill="1" applyBorder="1" applyAlignment="1" applyProtection="1">
      <alignment horizontal="center"/>
      <protection locked="0"/>
    </xf>
    <xf numFmtId="0" fontId="14" fillId="0" borderId="66" xfId="0" applyFont="1" applyFill="1" applyBorder="1" applyAlignment="1" applyProtection="1">
      <alignment horizontal="center"/>
      <protection locked="0"/>
    </xf>
    <xf numFmtId="0" fontId="14" fillId="0" borderId="54" xfId="0" applyFont="1" applyFill="1" applyBorder="1" applyAlignment="1" applyProtection="1">
      <alignment horizontal="center"/>
      <protection locked="0"/>
    </xf>
    <xf numFmtId="0" fontId="14" fillId="0" borderId="67" xfId="0" applyFont="1" applyFill="1" applyBorder="1" applyAlignment="1" applyProtection="1">
      <alignment horizontal="center"/>
      <protection locked="0"/>
    </xf>
    <xf numFmtId="170" fontId="14" fillId="0" borderId="9" xfId="2" applyNumberFormat="1" applyFont="1" applyFill="1" applyBorder="1" applyAlignment="1" applyProtection="1">
      <alignment horizontal="center"/>
      <protection locked="0"/>
    </xf>
    <xf numFmtId="170" fontId="14" fillId="0" borderId="45" xfId="2" applyNumberFormat="1" applyFont="1" applyFill="1" applyBorder="1" applyAlignment="1" applyProtection="1">
      <alignment horizontal="center"/>
      <protection locked="0"/>
    </xf>
    <xf numFmtId="39" fontId="14" fillId="0" borderId="19" xfId="1" applyNumberFormat="1" applyFont="1" applyFill="1" applyBorder="1" applyAlignment="1" applyProtection="1">
      <alignment horizontal="center"/>
      <protection locked="0"/>
    </xf>
    <xf numFmtId="39" fontId="14" fillId="0" borderId="9" xfId="1" applyNumberFormat="1" applyFont="1" applyFill="1" applyBorder="1" applyAlignment="1" applyProtection="1">
      <alignment horizontal="center"/>
      <protection locked="0"/>
    </xf>
    <xf numFmtId="39" fontId="14" fillId="0" borderId="45" xfId="1" applyNumberFormat="1" applyFont="1" applyFill="1" applyBorder="1" applyAlignment="1" applyProtection="1">
      <alignment horizontal="center"/>
      <protection locked="0"/>
    </xf>
    <xf numFmtId="37" fontId="14" fillId="0" borderId="9" xfId="1" applyNumberFormat="1" applyFont="1" applyFill="1" applyBorder="1" applyAlignment="1" applyProtection="1">
      <alignment horizontal="center"/>
      <protection locked="0"/>
    </xf>
    <xf numFmtId="37" fontId="14" fillId="0" borderId="45" xfId="1" applyNumberFormat="1" applyFont="1" applyFill="1" applyBorder="1" applyAlignment="1" applyProtection="1">
      <alignment horizontal="center"/>
      <protection locked="0"/>
    </xf>
    <xf numFmtId="37" fontId="14" fillId="0" borderId="19" xfId="1" applyNumberFormat="1" applyFont="1" applyFill="1" applyBorder="1" applyAlignment="1" applyProtection="1">
      <alignment horizontal="center"/>
      <protection locked="0"/>
    </xf>
    <xf numFmtId="39" fontId="9" fillId="0" borderId="9" xfId="1" applyNumberFormat="1" applyFont="1" applyFill="1" applyBorder="1" applyAlignment="1" applyProtection="1">
      <alignment horizontal="center"/>
      <protection locked="0"/>
    </xf>
    <xf numFmtId="39" fontId="9" fillId="0" borderId="45" xfId="1" applyNumberFormat="1" applyFont="1" applyFill="1" applyBorder="1" applyAlignment="1" applyProtection="1">
      <alignment horizontal="center"/>
      <protection locked="0"/>
    </xf>
    <xf numFmtId="170" fontId="9" fillId="0" borderId="19" xfId="2" applyNumberFormat="1" applyFont="1" applyFill="1" applyBorder="1" applyAlignment="1" applyProtection="1">
      <alignment horizontal="center"/>
      <protection locked="0"/>
    </xf>
  </cellXfs>
  <cellStyles count="45">
    <cellStyle name="Comma" xfId="1" builtinId="3"/>
    <cellStyle name="Comma 2" xfId="6" xr:uid="{00000000-0005-0000-0000-000001000000}"/>
    <cellStyle name="Comma 2 2" xfId="12" xr:uid="{00000000-0005-0000-0000-000002000000}"/>
    <cellStyle name="Comma 3" xfId="13" xr:uid="{00000000-0005-0000-0000-000003000000}"/>
    <cellStyle name="Comma 3 2" xfId="14" xr:uid="{00000000-0005-0000-0000-000004000000}"/>
    <cellStyle name="Comma 4" xfId="25" xr:uid="{00000000-0005-0000-0000-000005000000}"/>
    <cellStyle name="Comma 5" xfId="27" xr:uid="{00000000-0005-0000-0000-000006000000}"/>
    <cellStyle name="Comma 5 2" xfId="35" xr:uid="{F7E12BD5-D3A9-4C78-A82A-EA470D036DB6}"/>
    <cellStyle name="Comma 6" xfId="38" xr:uid="{F8EA2B87-F131-460E-9207-A5FE10180D02}"/>
    <cellStyle name="Currency" xfId="2" builtinId="4"/>
    <cellStyle name="Currency 2" xfId="15" xr:uid="{00000000-0005-0000-0000-000008000000}"/>
    <cellStyle name="Currency 2 2" xfId="16" xr:uid="{00000000-0005-0000-0000-000009000000}"/>
    <cellStyle name="Currency 3" xfId="24" xr:uid="{00000000-0005-0000-0000-00000A000000}"/>
    <cellStyle name="Currency 4" xfId="39" xr:uid="{094252EA-4244-4C42-8089-A93AFF6EAE85}"/>
    <cellStyle name="Currency 5" xfId="43" xr:uid="{16C040EF-0B49-4144-87FE-6ACE7D2BDC07}"/>
    <cellStyle name="Hyperlink" xfId="40" builtinId="8"/>
    <cellStyle name="Normal" xfId="0" builtinId="0"/>
    <cellStyle name="Normal 10" xfId="44" xr:uid="{D8A2EC9A-568A-4A0C-B3E2-7C51839D584E}"/>
    <cellStyle name="Normal 2" xfId="4" xr:uid="{00000000-0005-0000-0000-00000C000000}"/>
    <cellStyle name="Normal 2 2" xfId="17" xr:uid="{00000000-0005-0000-0000-00000D000000}"/>
    <cellStyle name="Normal 2 2 2" xfId="18" xr:uid="{00000000-0005-0000-0000-00000E000000}"/>
    <cellStyle name="Normal 3" xfId="5" xr:uid="{00000000-0005-0000-0000-00000F000000}"/>
    <cellStyle name="Normal 3 2" xfId="19" xr:uid="{00000000-0005-0000-0000-000010000000}"/>
    <cellStyle name="Normal 4" xfId="7" xr:uid="{00000000-0005-0000-0000-000011000000}"/>
    <cellStyle name="Normal 4 2" xfId="32" xr:uid="{3C45026E-B615-4514-8D52-75D62E453E81}"/>
    <cellStyle name="Normal 4_Dx Comp Rm Glycol Cool WO Ec2" xfId="28" xr:uid="{88D33CC5-9501-483D-B248-3DDD4A85A43E}"/>
    <cellStyle name="Normal 5" xfId="10" xr:uid="{00000000-0005-0000-0000-000012000000}"/>
    <cellStyle name="Normal 6" xfId="11" xr:uid="{00000000-0005-0000-0000-000013000000}"/>
    <cellStyle name="Normal 6 2" xfId="20" xr:uid="{00000000-0005-0000-0000-000014000000}"/>
    <cellStyle name="Normal 6_Dx Comp Rm Glycol Cool WO Ec2" xfId="29" xr:uid="{5A055DBB-B140-441E-8884-91028ECEAE40}"/>
    <cellStyle name="Normal 7" xfId="26" xr:uid="{00000000-0005-0000-0000-000015000000}"/>
    <cellStyle name="Normal 7 2" xfId="34" xr:uid="{CC629F70-374B-4DC3-98FA-86D84D5431B5}"/>
    <cellStyle name="Normal 7_Dx Comp Rm Glycol Cool WO Ec2" xfId="30" xr:uid="{708C2536-857A-47C7-BA6F-D04B20DF4698}"/>
    <cellStyle name="Normal 8" xfId="36" xr:uid="{B704EFF4-040A-4ADC-85B8-A745AD845660}"/>
    <cellStyle name="Normal 8 2" xfId="41" xr:uid="{52DE55C0-9FDC-496F-AB2C-7B24892AF51D}"/>
    <cellStyle name="Normal 9" xfId="42" xr:uid="{BF304815-6307-4C6E-AFA1-7587644108A2}"/>
    <cellStyle name="Note 2" xfId="9" xr:uid="{00000000-0005-0000-0000-00001A000000}"/>
    <cellStyle name="Note 2 2" xfId="21" xr:uid="{00000000-0005-0000-0000-00001B000000}"/>
    <cellStyle name="Note 2_Dx Comp Rm Glycol Cool WO Ec2" xfId="31" xr:uid="{05BCE32C-346C-4238-903B-693183F4795D}"/>
    <cellStyle name="Percent" xfId="3" builtinId="5"/>
    <cellStyle name="Percent 2" xfId="8" xr:uid="{00000000-0005-0000-0000-00001D000000}"/>
    <cellStyle name="Percent 2 2" xfId="33" xr:uid="{1AD4366E-1F4F-49D9-AEC3-6FD5EE96D7E6}"/>
    <cellStyle name="Percent 3" xfId="22" xr:uid="{00000000-0005-0000-0000-00001E000000}"/>
    <cellStyle name="Percent 3 2" xfId="23" xr:uid="{00000000-0005-0000-0000-00001F000000}"/>
    <cellStyle name="Percent 4" xfId="37" xr:uid="{8E402E61-69AE-4AE1-A9D3-8A7BBC49588F}"/>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3.png@01D93C6C.EB7D923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133349</xdr:colOff>
      <xdr:row>27</xdr:row>
      <xdr:rowOff>41688</xdr:rowOff>
    </xdr:from>
    <xdr:to>
      <xdr:col>37</xdr:col>
      <xdr:colOff>601986</xdr:colOff>
      <xdr:row>35</xdr:row>
      <xdr:rowOff>171449</xdr:rowOff>
    </xdr:to>
    <xdr:pic>
      <xdr:nvPicPr>
        <xdr:cNvPr id="8" name="Picture 7">
          <a:extLst>
            <a:ext uri="{FF2B5EF4-FFF2-40B4-BE49-F238E27FC236}">
              <a16:creationId xmlns:a16="http://schemas.microsoft.com/office/drawing/2014/main" id="{3608862B-03CC-BA94-8EDA-0768405F5453}"/>
            </a:ext>
          </a:extLst>
        </xdr:cNvPr>
        <xdr:cNvPicPr>
          <a:picLocks noChangeAspect="1"/>
        </xdr:cNvPicPr>
      </xdr:nvPicPr>
      <xdr:blipFill>
        <a:blip xmlns:r="http://schemas.openxmlformats.org/officeDocument/2006/relationships" r:embed="rId1"/>
        <a:stretch>
          <a:fillRect/>
        </a:stretch>
      </xdr:blipFill>
      <xdr:spPr>
        <a:xfrm>
          <a:off x="9229724" y="4994688"/>
          <a:ext cx="4869186" cy="1672811"/>
        </a:xfrm>
        <a:prstGeom prst="rect">
          <a:avLst/>
        </a:prstGeom>
      </xdr:spPr>
    </xdr:pic>
    <xdr:clientData/>
  </xdr:twoCellAnchor>
  <xdr:twoCellAnchor editAs="oneCell">
    <xdr:from>
      <xdr:col>17</xdr:col>
      <xdr:colOff>24861</xdr:colOff>
      <xdr:row>27</xdr:row>
      <xdr:rowOff>52286</xdr:rowOff>
    </xdr:from>
    <xdr:to>
      <xdr:col>38</xdr:col>
      <xdr:colOff>395307</xdr:colOff>
      <xdr:row>45</xdr:row>
      <xdr:rowOff>19049</xdr:rowOff>
    </xdr:to>
    <xdr:pic>
      <xdr:nvPicPr>
        <xdr:cNvPr id="9" name="Picture 8">
          <a:extLst>
            <a:ext uri="{FF2B5EF4-FFF2-40B4-BE49-F238E27FC236}">
              <a16:creationId xmlns:a16="http://schemas.microsoft.com/office/drawing/2014/main" id="{B0B78AEC-45EC-0869-E8D7-07FAC9275D03}"/>
            </a:ext>
          </a:extLst>
        </xdr:cNvPr>
        <xdr:cNvPicPr>
          <a:picLocks noChangeAspect="1"/>
        </xdr:cNvPicPr>
      </xdr:nvPicPr>
      <xdr:blipFill>
        <a:blip xmlns:r="http://schemas.openxmlformats.org/officeDocument/2006/relationships" r:embed="rId2"/>
        <a:stretch>
          <a:fillRect/>
        </a:stretch>
      </xdr:blipFill>
      <xdr:spPr>
        <a:xfrm>
          <a:off x="14026611" y="5005286"/>
          <a:ext cx="5272107" cy="3243363"/>
        </a:xfrm>
        <a:prstGeom prst="rect">
          <a:avLst/>
        </a:prstGeom>
      </xdr:spPr>
    </xdr:pic>
    <xdr:clientData/>
  </xdr:twoCellAnchor>
  <xdr:twoCellAnchor>
    <xdr:from>
      <xdr:col>7</xdr:col>
      <xdr:colOff>161925</xdr:colOff>
      <xdr:row>5</xdr:row>
      <xdr:rowOff>47625</xdr:rowOff>
    </xdr:from>
    <xdr:to>
      <xdr:col>7</xdr:col>
      <xdr:colOff>571500</xdr:colOff>
      <xdr:row>12</xdr:row>
      <xdr:rowOff>95250</xdr:rowOff>
    </xdr:to>
    <xdr:sp macro="" textlink="">
      <xdr:nvSpPr>
        <xdr:cNvPr id="2" name="Right Brace 1">
          <a:extLst>
            <a:ext uri="{FF2B5EF4-FFF2-40B4-BE49-F238E27FC236}">
              <a16:creationId xmlns:a16="http://schemas.microsoft.com/office/drawing/2014/main" id="{00000000-0008-0000-0300-000002000000}"/>
            </a:ext>
          </a:extLst>
        </xdr:cNvPr>
        <xdr:cNvSpPr/>
      </xdr:nvSpPr>
      <xdr:spPr>
        <a:xfrm>
          <a:off x="7867650" y="1028700"/>
          <a:ext cx="409575" cy="1181100"/>
        </a:xfrm>
        <a:prstGeom prst="rightBrace">
          <a:avLst>
            <a:gd name="adj1" fmla="val 8333"/>
            <a:gd name="adj2" fmla="val 45968"/>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161925</xdr:colOff>
      <xdr:row>20</xdr:row>
      <xdr:rowOff>47625</xdr:rowOff>
    </xdr:from>
    <xdr:to>
      <xdr:col>7</xdr:col>
      <xdr:colOff>571500</xdr:colOff>
      <xdr:row>25</xdr:row>
      <xdr:rowOff>114300</xdr:rowOff>
    </xdr:to>
    <xdr:sp macro="" textlink="">
      <xdr:nvSpPr>
        <xdr:cNvPr id="3" name="Right Brace 2">
          <a:extLst>
            <a:ext uri="{FF2B5EF4-FFF2-40B4-BE49-F238E27FC236}">
              <a16:creationId xmlns:a16="http://schemas.microsoft.com/office/drawing/2014/main" id="{00000000-0008-0000-0300-000003000000}"/>
            </a:ext>
          </a:extLst>
        </xdr:cNvPr>
        <xdr:cNvSpPr/>
      </xdr:nvSpPr>
      <xdr:spPr>
        <a:xfrm>
          <a:off x="7867650" y="3629025"/>
          <a:ext cx="409575" cy="876300"/>
        </a:xfrm>
        <a:prstGeom prst="rightBrace">
          <a:avLst>
            <a:gd name="adj1" fmla="val 8333"/>
            <a:gd name="adj2" fmla="val 54664"/>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152400</xdr:colOff>
      <xdr:row>8</xdr:row>
      <xdr:rowOff>104774</xdr:rowOff>
    </xdr:from>
    <xdr:to>
      <xdr:col>9</xdr:col>
      <xdr:colOff>561975</xdr:colOff>
      <xdr:row>23</xdr:row>
      <xdr:rowOff>85724</xdr:rowOff>
    </xdr:to>
    <xdr:sp macro="" textlink="">
      <xdr:nvSpPr>
        <xdr:cNvPr id="4" name="Right Brace 3">
          <a:extLst>
            <a:ext uri="{FF2B5EF4-FFF2-40B4-BE49-F238E27FC236}">
              <a16:creationId xmlns:a16="http://schemas.microsoft.com/office/drawing/2014/main" id="{00000000-0008-0000-0300-000004000000}"/>
            </a:ext>
          </a:extLst>
        </xdr:cNvPr>
        <xdr:cNvSpPr/>
      </xdr:nvSpPr>
      <xdr:spPr>
        <a:xfrm>
          <a:off x="9077325" y="1571624"/>
          <a:ext cx="409575" cy="2581275"/>
        </a:xfrm>
        <a:prstGeom prst="rightBrace">
          <a:avLst>
            <a:gd name="adj1" fmla="val 8333"/>
            <a:gd name="adj2" fmla="val 45968"/>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485776</xdr:colOff>
      <xdr:row>42</xdr:row>
      <xdr:rowOff>114300</xdr:rowOff>
    </xdr:from>
    <xdr:to>
      <xdr:col>9</xdr:col>
      <xdr:colOff>163577</xdr:colOff>
      <xdr:row>84</xdr:row>
      <xdr:rowOff>28575</xdr:rowOff>
    </xdr:to>
    <xdr:pic>
      <xdr:nvPicPr>
        <xdr:cNvPr id="6" name="Picture 17">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876926" y="7581900"/>
          <a:ext cx="3383026" cy="671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171451</xdr:colOff>
      <xdr:row>45</xdr:row>
      <xdr:rowOff>28575</xdr:rowOff>
    </xdr:from>
    <xdr:to>
      <xdr:col>37</xdr:col>
      <xdr:colOff>465606</xdr:colOff>
      <xdr:row>74</xdr:row>
      <xdr:rowOff>85725</xdr:rowOff>
    </xdr:to>
    <xdr:pic>
      <xdr:nvPicPr>
        <xdr:cNvPr id="7" name="Picture 6">
          <a:extLst>
            <a:ext uri="{FF2B5EF4-FFF2-40B4-BE49-F238E27FC236}">
              <a16:creationId xmlns:a16="http://schemas.microsoft.com/office/drawing/2014/main" id="{2588ACDA-41C5-E294-8897-1F333D3F3A42}"/>
            </a:ext>
          </a:extLst>
        </xdr:cNvPr>
        <xdr:cNvPicPr>
          <a:picLocks noChangeAspect="1"/>
        </xdr:cNvPicPr>
      </xdr:nvPicPr>
      <xdr:blipFill>
        <a:blip xmlns:r="http://schemas.openxmlformats.org/officeDocument/2006/relationships" r:embed="rId5"/>
        <a:stretch>
          <a:fillRect/>
        </a:stretch>
      </xdr:blipFill>
      <xdr:spPr>
        <a:xfrm>
          <a:off x="9267826" y="7981950"/>
          <a:ext cx="4732806" cy="475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85329</xdr:colOff>
      <xdr:row>5</xdr:row>
      <xdr:rowOff>138952</xdr:rowOff>
    </xdr:from>
    <xdr:to>
      <xdr:col>22</xdr:col>
      <xdr:colOff>130194</xdr:colOff>
      <xdr:row>24</xdr:row>
      <xdr:rowOff>0</xdr:rowOff>
    </xdr:to>
    <xdr:pic>
      <xdr:nvPicPr>
        <xdr:cNvPr id="2" name="Picture 1">
          <a:extLst>
            <a:ext uri="{FF2B5EF4-FFF2-40B4-BE49-F238E27FC236}">
              <a16:creationId xmlns:a16="http://schemas.microsoft.com/office/drawing/2014/main" id="{03CA3E7C-9CBF-4FBD-A83D-1DB03088BA66}"/>
            </a:ext>
          </a:extLst>
        </xdr:cNvPr>
        <xdr:cNvPicPr>
          <a:picLocks noChangeAspect="1"/>
        </xdr:cNvPicPr>
      </xdr:nvPicPr>
      <xdr:blipFill>
        <a:blip xmlns:r="http://schemas.openxmlformats.org/officeDocument/2006/relationships" r:embed="rId1"/>
        <a:stretch>
          <a:fillRect/>
        </a:stretch>
      </xdr:blipFill>
      <xdr:spPr>
        <a:xfrm>
          <a:off x="12572604" y="948577"/>
          <a:ext cx="3760900" cy="29376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oxsf20\pdm$\N%20P%20D\HVAC%20Files\Chi\DSM%20Program%20Manager\Business%20HVAC\Calculators\Business%20HVAC%20DX%20Calculation%202025%20V5.3.xlsx" TargetMode="External"/><Relationship Id="rId1" Type="http://schemas.openxmlformats.org/officeDocument/2006/relationships/externalLinkPath" Target="file:///\\goxsf20\pdm$\N%20P%20D\HVAC%20Files\Chi\DSM%20Program%20Manager\Business%20HVAC\Calculators\Business%20HVAC%20DX%20Calculation%202025%20V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XAC Prog and Lookup"/>
      <sheetName val="ASHRAE Std 90.1"/>
      <sheetName val="Vlocity Matrices"/>
      <sheetName val="Revisions"/>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Abel" id="{BF09C964-01AF-4BA3-81C6-AD793BA20F89}" userId="S::AXA0PPZ@fpl.com::30588746-1303-4111-9970-875d8c97b1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75" dT="2021-12-01T20:23:03.17" personId="{BF09C964-01AF-4BA3-81C6-AD793BA20F89}" id="{56CB44BC-B252-4E27-B00C-A339A70B0A85}">
    <text>Baseline reduced 0.4 to accomodate the 10.0 value in the table</text>
  </threadedComment>
  <threadedComment ref="S75" dT="2021-12-01T18:55:21.12" personId="{BF09C964-01AF-4BA3-81C6-AD793BA20F89}" id="{2E2E9196-6E8E-48CD-9734-6D3589240289}">
    <text>Baseline reduced by 0.3 to accomodate the 10.5 value in the table</text>
  </threadedComment>
  <threadedComment ref="V75" dT="2021-12-01T18:54:28.22" personId="{BF09C964-01AF-4BA3-81C6-AD793BA20F89}" id="{5D28334E-E15A-4732-BA91-2E80B69D24CE}">
    <text>Baseline reduced 0.3 to accomodate the 11.5 value in the table</text>
  </threadedComment>
  <threadedComment ref="AB75" dT="2021-12-01T18:52:52.23" personId="{BF09C964-01AF-4BA3-81C6-AD793BA20F89}" id="{7E43906B-3087-4FA8-B720-5CF0837DAB23}">
    <text>Baseline reduced 0.3 to accomodate the 14.0 value in the table</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mailto:Mike.Catarzi@fpl.com" TargetMode="External"/><Relationship Id="rId7" Type="http://schemas.openxmlformats.org/officeDocument/2006/relationships/comments" Target="../comments1.xml"/><Relationship Id="rId2" Type="http://schemas.openxmlformats.org/officeDocument/2006/relationships/hyperlink" Target="mailto:Chi.Lui@fpl.com" TargetMode="External"/><Relationship Id="rId1" Type="http://schemas.openxmlformats.org/officeDocument/2006/relationships/hyperlink" Target="mailto:Abel.Alonso@fp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Jared.Giordano@fp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nee.sharepoint.com/:x:/r/teams/EXT_EXTDSMSProjectTeamsChannel/_layouts/15/Doc.aspx?sourcedoc=%7BA7941B36-3EC4-4E18-B673-C26F641D505C%7D&amp;file=Business%20HVAC%20DX%20Calculation%20R4-07312023.xlsx&amp;action=default&amp;mobileredirect=true"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2725-F249-4B39-9A6B-F183923C1831}">
  <dimension ref="A1:AW521"/>
  <sheetViews>
    <sheetView tabSelected="1" topLeftCell="C46" zoomScale="130" zoomScaleNormal="85" workbookViewId="0">
      <selection activeCell="AR61" sqref="AR61"/>
    </sheetView>
  </sheetViews>
  <sheetFormatPr defaultColWidth="9.1796875" defaultRowHeight="14.5" x14ac:dyDescent="0.35"/>
  <cols>
    <col min="1" max="1" width="6.1796875" style="17" hidden="1" customWidth="1"/>
    <col min="2" max="2" width="8.7265625" style="17" hidden="1" customWidth="1"/>
    <col min="3" max="3" width="76" style="17" bestFit="1" customWidth="1"/>
    <col min="4" max="4" width="45" style="17" customWidth="1"/>
    <col min="5" max="5" width="13.26953125" style="17" hidden="1" customWidth="1"/>
    <col min="6" max="6" width="9.54296875" style="17" hidden="1" customWidth="1"/>
    <col min="7" max="7" width="23.26953125" style="17" hidden="1" customWidth="1"/>
    <col min="8" max="8" width="8.1796875" style="17" hidden="1" customWidth="1"/>
    <col min="9" max="9" width="16.54296875" style="17" hidden="1" customWidth="1"/>
    <col min="10" max="10" width="11.54296875" style="17" hidden="1" customWidth="1"/>
    <col min="11" max="11" width="10" style="17" hidden="1" customWidth="1"/>
    <col min="12" max="12" width="12.453125" style="17" hidden="1" customWidth="1"/>
    <col min="13" max="13" width="9.1796875" style="17" hidden="1" customWidth="1"/>
    <col min="14" max="14" width="48.81640625" style="18" hidden="1" customWidth="1"/>
    <col min="15" max="15" width="12.54296875" style="18" hidden="1" customWidth="1"/>
    <col min="16" max="16" width="45" style="18" hidden="1" customWidth="1"/>
    <col min="17" max="17" width="35" style="18" hidden="1" customWidth="1"/>
    <col min="18" max="18" width="30.1796875" style="18" hidden="1" customWidth="1"/>
    <col min="19" max="19" width="10.453125" style="18" hidden="1" customWidth="1"/>
    <col min="20" max="20" width="11.26953125" style="18" hidden="1" customWidth="1"/>
    <col min="21" max="21" width="7" style="18" hidden="1" customWidth="1"/>
    <col min="22" max="22" width="13.26953125" style="18" hidden="1" customWidth="1"/>
    <col min="23" max="23" width="8.81640625" style="18" hidden="1" customWidth="1"/>
    <col min="24" max="24" width="7" style="18" hidden="1" customWidth="1"/>
    <col min="25" max="25" width="38.453125" style="18" hidden="1" customWidth="1"/>
    <col min="26" max="26" width="9" style="18" hidden="1" customWidth="1"/>
    <col min="27" max="27" width="7" style="18" hidden="1" customWidth="1"/>
    <col min="28" max="28" width="17.26953125" style="18" hidden="1" customWidth="1"/>
    <col min="29" max="37" width="0" style="18" hidden="1" customWidth="1"/>
    <col min="38" max="49" width="9.1796875" style="18"/>
    <col min="50" max="16384" width="9.1796875" style="17"/>
  </cols>
  <sheetData>
    <row r="1" spans="3:26" hidden="1" x14ac:dyDescent="0.35">
      <c r="C1" s="208" t="s">
        <v>0</v>
      </c>
      <c r="D1" s="18"/>
      <c r="E1" s="18"/>
      <c r="F1" s="18"/>
      <c r="G1" s="18"/>
      <c r="H1" s="18"/>
      <c r="I1" s="18"/>
      <c r="J1" s="18"/>
      <c r="K1" s="18"/>
      <c r="L1" s="18"/>
      <c r="M1" s="18"/>
    </row>
    <row r="2" spans="3:26" hidden="1" x14ac:dyDescent="0.35">
      <c r="C2" s="209" t="s">
        <v>1</v>
      </c>
      <c r="D2" s="18"/>
      <c r="E2" s="18"/>
      <c r="F2" s="18"/>
      <c r="G2" s="18"/>
      <c r="H2" s="18"/>
      <c r="I2" s="18"/>
      <c r="J2" s="18"/>
      <c r="K2" s="18"/>
      <c r="L2" s="18"/>
      <c r="M2" s="18"/>
    </row>
    <row r="3" spans="3:26" hidden="1" x14ac:dyDescent="0.35">
      <c r="C3" s="214" t="s">
        <v>2</v>
      </c>
      <c r="D3" s="18"/>
      <c r="E3" s="18"/>
      <c r="F3" s="18"/>
      <c r="G3" s="18"/>
      <c r="H3" s="18"/>
      <c r="I3" s="18"/>
      <c r="J3" s="18"/>
      <c r="K3" s="18"/>
      <c r="L3" s="18"/>
      <c r="M3" s="18"/>
    </row>
    <row r="4" spans="3:26" ht="15" hidden="1" customHeight="1" x14ac:dyDescent="0.35">
      <c r="W4" s="27"/>
      <c r="X4" s="27"/>
      <c r="Y4" s="27"/>
      <c r="Z4" s="27"/>
    </row>
    <row r="5" spans="3:26" ht="15.5" hidden="1" x14ac:dyDescent="0.35">
      <c r="C5" s="235" t="s">
        <v>3</v>
      </c>
      <c r="D5" s="207"/>
      <c r="E5" s="207"/>
      <c r="F5" s="207"/>
      <c r="G5" s="207"/>
      <c r="H5" s="207"/>
      <c r="I5" s="207"/>
      <c r="J5" s="207"/>
      <c r="K5" s="207"/>
      <c r="L5" s="207"/>
      <c r="M5" s="207"/>
      <c r="W5" s="27"/>
      <c r="X5" s="27"/>
      <c r="Y5" s="27"/>
      <c r="Z5" s="27"/>
    </row>
    <row r="6" spans="3:26" ht="15.5" hidden="1" x14ac:dyDescent="0.35">
      <c r="C6" s="235" t="s">
        <v>4</v>
      </c>
      <c r="D6" s="236">
        <v>1.07</v>
      </c>
      <c r="E6" s="236" t="s">
        <v>5</v>
      </c>
      <c r="F6" s="236" t="s">
        <v>6</v>
      </c>
      <c r="G6" s="236" t="s">
        <v>5</v>
      </c>
      <c r="H6" s="236" t="s">
        <v>6</v>
      </c>
      <c r="I6" s="236" t="s">
        <v>5</v>
      </c>
      <c r="J6" s="236" t="s">
        <v>6</v>
      </c>
      <c r="K6" s="236" t="s">
        <v>5</v>
      </c>
      <c r="L6" s="236" t="s">
        <v>6</v>
      </c>
      <c r="M6" s="236" t="s">
        <v>5</v>
      </c>
      <c r="W6" s="27"/>
      <c r="X6" s="27"/>
      <c r="Y6" s="27"/>
      <c r="Z6" s="27"/>
    </row>
    <row r="7" spans="3:26" ht="15.5" hidden="1" x14ac:dyDescent="0.35">
      <c r="C7" s="237"/>
      <c r="D7" s="238" t="s">
        <v>7</v>
      </c>
      <c r="E7" s="238" t="s">
        <v>8</v>
      </c>
      <c r="F7" s="238" t="s">
        <v>9</v>
      </c>
      <c r="G7" s="238" t="s">
        <v>9</v>
      </c>
      <c r="H7" s="238" t="s">
        <v>10</v>
      </c>
      <c r="I7" s="238" t="s">
        <v>10</v>
      </c>
      <c r="J7" s="239" t="s">
        <v>11</v>
      </c>
      <c r="K7" s="180" t="s">
        <v>11</v>
      </c>
      <c r="L7" s="180" t="s">
        <v>12</v>
      </c>
      <c r="M7" s="180" t="s">
        <v>12</v>
      </c>
      <c r="W7" s="27"/>
      <c r="X7" s="27"/>
      <c r="Y7" s="27"/>
      <c r="Z7" s="27"/>
    </row>
    <row r="8" spans="3:26" hidden="1" x14ac:dyDescent="0.35">
      <c r="C8" s="240" t="s">
        <v>13</v>
      </c>
      <c r="D8" s="241">
        <v>13.814</v>
      </c>
      <c r="E8" s="242">
        <f>D8*$D$6</f>
        <v>14.780980000000001</v>
      </c>
      <c r="F8" s="241">
        <f>Min_SEER2_65*$D$24</f>
        <v>14.462391258542599</v>
      </c>
      <c r="G8" s="241">
        <f>F8*$D$6</f>
        <v>15.474758646640582</v>
      </c>
      <c r="H8" s="241"/>
      <c r="I8" s="241"/>
      <c r="J8" s="241"/>
      <c r="K8" s="241"/>
      <c r="L8" s="241"/>
      <c r="M8" s="241"/>
      <c r="R8" s="27"/>
      <c r="S8" s="27"/>
      <c r="T8" s="27"/>
      <c r="W8" s="27"/>
      <c r="X8" s="27"/>
      <c r="Y8" s="27"/>
      <c r="Z8" s="27"/>
    </row>
    <row r="9" spans="3:26" ht="18.5" hidden="1" x14ac:dyDescent="0.35">
      <c r="C9" s="240"/>
      <c r="D9" s="241">
        <f>IF(AND(Water_Cooled="yes",System_Capacity__Mbtuh&lt;Capacity_65_Mbtuh),Min_SEER2_65/SEER_Factor,Min_SEER2_65)</f>
        <v>12.096322241681262</v>
      </c>
      <c r="E9" s="242">
        <f>D9*D6</f>
        <v>12.943064798598952</v>
      </c>
      <c r="F9" s="243">
        <f>D9</f>
        <v>12.096322241681262</v>
      </c>
      <c r="G9" s="243">
        <f>E9</f>
        <v>12.943064798598952</v>
      </c>
      <c r="H9" s="241"/>
      <c r="I9" s="241"/>
      <c r="J9" s="241"/>
      <c r="K9" s="241"/>
      <c r="L9" s="241"/>
      <c r="M9" s="241"/>
      <c r="N9" s="244" t="s">
        <v>14</v>
      </c>
      <c r="P9" s="348" t="s">
        <v>15</v>
      </c>
      <c r="Q9" s="348"/>
      <c r="R9" s="27"/>
      <c r="S9" s="27"/>
      <c r="T9" s="27"/>
      <c r="W9" s="27"/>
      <c r="X9" s="27"/>
      <c r="Y9" s="27"/>
      <c r="Z9" s="27"/>
    </row>
    <row r="10" spans="3:26" ht="20.5" hidden="1" x14ac:dyDescent="0.35">
      <c r="C10" s="240" t="s">
        <v>16</v>
      </c>
      <c r="D10" s="241"/>
      <c r="E10" s="241"/>
      <c r="F10" s="241"/>
      <c r="G10" s="241"/>
      <c r="H10" s="241">
        <v>11.202</v>
      </c>
      <c r="I10" s="241">
        <f>H10*$D$6</f>
        <v>11.986140000000001</v>
      </c>
      <c r="J10" s="241">
        <v>14.8</v>
      </c>
      <c r="K10" s="241">
        <f>J10*$D$6</f>
        <v>15.836000000000002</v>
      </c>
      <c r="L10" s="241">
        <f>J10*IEER_Factor_greater_than_65_Mbtuh</f>
        <v>14.8</v>
      </c>
      <c r="M10" s="241">
        <f>L10*$D$6</f>
        <v>15.836000000000002</v>
      </c>
      <c r="N10" s="244" t="s">
        <v>17</v>
      </c>
      <c r="P10" s="28" t="s">
        <v>18</v>
      </c>
      <c r="Q10" s="28" t="s">
        <v>19</v>
      </c>
      <c r="R10" s="27"/>
      <c r="S10" s="27"/>
      <c r="T10" s="27"/>
      <c r="W10" s="27"/>
      <c r="X10" s="27"/>
      <c r="Y10" s="27"/>
      <c r="Z10" s="27"/>
    </row>
    <row r="11" spans="3:26" ht="18.5" hidden="1" x14ac:dyDescent="0.35">
      <c r="C11" s="240" t="s">
        <v>20</v>
      </c>
      <c r="D11" s="241"/>
      <c r="E11" s="241"/>
      <c r="F11" s="241"/>
      <c r="G11" s="241"/>
      <c r="H11" s="241">
        <v>11.002000000000001</v>
      </c>
      <c r="I11" s="241">
        <f t="shared" ref="I11:I13" si="0">H11*$D$6</f>
        <v>11.772140000000002</v>
      </c>
      <c r="J11" s="241">
        <v>14.2</v>
      </c>
      <c r="K11" s="241">
        <f t="shared" ref="K11:K13" si="1">J11*$D$6</f>
        <v>15.194000000000001</v>
      </c>
      <c r="L11" s="241">
        <f>J11*IEER_Factor_greater_than_65_Mbtuh</f>
        <v>14.2</v>
      </c>
      <c r="M11" s="241">
        <f t="shared" ref="M11:M13" si="2">L11*$D$6</f>
        <v>15.194000000000001</v>
      </c>
      <c r="N11" s="244" t="s">
        <v>21</v>
      </c>
      <c r="P11" s="28" t="s">
        <v>22</v>
      </c>
      <c r="Q11" s="28" t="s">
        <v>23</v>
      </c>
      <c r="R11" s="27"/>
      <c r="S11" s="27"/>
      <c r="T11" s="27"/>
      <c r="W11" s="27"/>
      <c r="X11" s="27"/>
      <c r="Y11" s="27"/>
      <c r="Z11" s="27"/>
    </row>
    <row r="12" spans="3:26" ht="20.5" hidden="1" x14ac:dyDescent="0.35">
      <c r="C12" s="240" t="s">
        <v>24</v>
      </c>
      <c r="D12" s="241"/>
      <c r="E12" s="241"/>
      <c r="F12" s="241"/>
      <c r="G12" s="241"/>
      <c r="H12" s="241">
        <v>10.002000000000001</v>
      </c>
      <c r="I12" s="241">
        <f t="shared" si="0"/>
        <v>10.702140000000002</v>
      </c>
      <c r="J12" s="241">
        <v>13.2</v>
      </c>
      <c r="K12" s="241">
        <f t="shared" si="1"/>
        <v>14.124000000000001</v>
      </c>
      <c r="L12" s="241">
        <f>J12*IEER_Factor_greater_than_65_Mbtuh</f>
        <v>13.2</v>
      </c>
      <c r="M12" s="241">
        <f t="shared" si="2"/>
        <v>14.124000000000001</v>
      </c>
      <c r="N12" s="244" t="s">
        <v>25</v>
      </c>
      <c r="P12" s="28" t="s">
        <v>26</v>
      </c>
      <c r="Q12" s="28" t="s">
        <v>27</v>
      </c>
      <c r="R12" s="27"/>
      <c r="S12" s="27"/>
      <c r="T12" s="27"/>
      <c r="W12" s="27"/>
      <c r="X12" s="27"/>
      <c r="Y12" s="27"/>
      <c r="Z12" s="27"/>
    </row>
    <row r="13" spans="3:26" ht="20.5" hidden="1" x14ac:dyDescent="0.35">
      <c r="C13" s="240" t="s">
        <v>28</v>
      </c>
      <c r="D13" s="245"/>
      <c r="E13" s="241"/>
      <c r="F13" s="245"/>
      <c r="G13" s="245"/>
      <c r="H13" s="241">
        <v>9.702</v>
      </c>
      <c r="I13" s="241">
        <f t="shared" si="0"/>
        <v>10.38114</v>
      </c>
      <c r="J13" s="241">
        <v>12.5</v>
      </c>
      <c r="K13" s="241">
        <f t="shared" si="1"/>
        <v>13.375</v>
      </c>
      <c r="L13" s="241">
        <f>J13*IEER_Factor_greater_than_65_Mbtuh</f>
        <v>12.5</v>
      </c>
      <c r="M13" s="241">
        <f t="shared" si="2"/>
        <v>13.375</v>
      </c>
      <c r="N13" s="29" t="s">
        <v>29</v>
      </c>
      <c r="P13" s="28" t="s">
        <v>30</v>
      </c>
      <c r="Q13" s="28" t="s">
        <v>27</v>
      </c>
      <c r="R13" s="27"/>
      <c r="S13" s="27"/>
      <c r="T13" s="27"/>
      <c r="W13" s="27"/>
      <c r="X13" s="27"/>
      <c r="Y13" s="30"/>
      <c r="Z13" s="27"/>
    </row>
    <row r="14" spans="3:26" ht="18.5" hidden="1" x14ac:dyDescent="0.35">
      <c r="C14" s="240" t="s">
        <v>31</v>
      </c>
      <c r="D14" s="246">
        <v>65</v>
      </c>
      <c r="E14" s="247"/>
      <c r="F14" s="248"/>
      <c r="G14" s="248"/>
      <c r="H14" s="248"/>
      <c r="I14" s="248"/>
      <c r="J14" s="248"/>
      <c r="K14" s="248"/>
      <c r="L14" s="248"/>
      <c r="M14" s="248"/>
      <c r="N14" s="244" t="s">
        <v>32</v>
      </c>
      <c r="P14" s="28"/>
      <c r="Q14" s="28"/>
      <c r="R14" s="27"/>
      <c r="S14" s="27"/>
      <c r="T14" s="27"/>
      <c r="W14" s="27"/>
      <c r="X14" s="27"/>
      <c r="Y14" s="30"/>
      <c r="Z14" s="27"/>
    </row>
    <row r="15" spans="3:26" ht="18.5" hidden="1" x14ac:dyDescent="0.35">
      <c r="C15" s="240" t="s">
        <v>33</v>
      </c>
      <c r="D15" s="246">
        <v>135</v>
      </c>
      <c r="E15" s="185"/>
      <c r="F15" s="186"/>
      <c r="G15" s="216"/>
      <c r="H15" s="186"/>
      <c r="I15" s="186"/>
      <c r="J15" s="186"/>
      <c r="K15" s="186"/>
      <c r="L15" s="186"/>
      <c r="M15" s="186"/>
      <c r="N15" s="244" t="s">
        <v>34</v>
      </c>
      <c r="P15" s="348" t="s">
        <v>35</v>
      </c>
      <c r="Q15" s="348"/>
      <c r="R15" s="27"/>
      <c r="S15" s="27"/>
      <c r="T15" s="27"/>
      <c r="W15" s="27"/>
      <c r="X15" s="27"/>
      <c r="Y15" s="30"/>
      <c r="Z15" s="27"/>
    </row>
    <row r="16" spans="3:26" hidden="1" x14ac:dyDescent="0.35">
      <c r="C16" s="240" t="s">
        <v>36</v>
      </c>
      <c r="D16" s="246">
        <v>240</v>
      </c>
      <c r="E16" s="185"/>
      <c r="F16" s="186"/>
      <c r="G16" s="186"/>
      <c r="H16" s="187"/>
      <c r="I16" s="187"/>
      <c r="J16" s="186"/>
      <c r="K16" s="186"/>
      <c r="L16" s="186"/>
      <c r="M16" s="186"/>
      <c r="N16" s="244" t="s">
        <v>37</v>
      </c>
      <c r="P16" s="27"/>
      <c r="R16" s="27"/>
      <c r="S16" s="27"/>
      <c r="T16" s="27"/>
      <c r="W16" s="27"/>
      <c r="X16" s="27"/>
      <c r="Y16" s="30"/>
      <c r="Z16" s="27"/>
    </row>
    <row r="17" spans="3:26" ht="18.5" hidden="1" x14ac:dyDescent="0.35">
      <c r="C17" s="240" t="s">
        <v>38</v>
      </c>
      <c r="D17" s="246">
        <v>760</v>
      </c>
      <c r="E17" s="185"/>
      <c r="F17" s="186"/>
      <c r="G17" s="186"/>
      <c r="H17" s="186"/>
      <c r="I17" s="187"/>
      <c r="J17" s="186"/>
      <c r="K17" s="186"/>
      <c r="L17" s="186"/>
      <c r="M17" s="186"/>
      <c r="N17" s="244" t="s">
        <v>39</v>
      </c>
      <c r="P17" s="348" t="s">
        <v>40</v>
      </c>
      <c r="Q17" s="348"/>
      <c r="R17" s="27"/>
      <c r="S17" s="27"/>
      <c r="T17" s="27"/>
      <c r="W17" s="27"/>
      <c r="X17" s="27"/>
      <c r="Y17" s="30"/>
      <c r="Z17" s="27"/>
    </row>
    <row r="18" spans="3:26" ht="18.5" hidden="1" x14ac:dyDescent="0.35">
      <c r="C18" s="249" t="s">
        <v>41</v>
      </c>
      <c r="D18" s="250">
        <v>820</v>
      </c>
      <c r="E18" s="185"/>
      <c r="F18" s="186"/>
      <c r="G18" s="186"/>
      <c r="H18" s="186"/>
      <c r="I18" s="187"/>
      <c r="J18" s="186"/>
      <c r="K18" s="186"/>
      <c r="L18" s="186"/>
      <c r="M18" s="186"/>
      <c r="N18" s="244" t="s">
        <v>42</v>
      </c>
      <c r="P18" s="28" t="s">
        <v>43</v>
      </c>
      <c r="Q18" s="28" t="s">
        <v>44</v>
      </c>
      <c r="R18" s="27"/>
      <c r="S18" s="27"/>
      <c r="T18" s="27"/>
      <c r="U18" s="27"/>
      <c r="V18" s="27"/>
      <c r="W18" s="27"/>
      <c r="X18" s="27"/>
      <c r="Y18" s="31"/>
      <c r="Z18" s="27"/>
    </row>
    <row r="19" spans="3:26" ht="18.5" hidden="1" x14ac:dyDescent="0.35">
      <c r="C19" s="251" t="s">
        <v>45</v>
      </c>
      <c r="D19" s="252">
        <v>200</v>
      </c>
      <c r="E19" s="185"/>
      <c r="F19" s="186"/>
      <c r="G19" s="186"/>
      <c r="H19" s="186"/>
      <c r="I19" s="187"/>
      <c r="J19" s="186"/>
      <c r="K19" s="186"/>
      <c r="L19" s="186"/>
      <c r="M19" s="186"/>
      <c r="N19" s="244" t="s">
        <v>46</v>
      </c>
      <c r="P19" s="28" t="s">
        <v>47</v>
      </c>
      <c r="Q19" s="28" t="s">
        <v>48</v>
      </c>
      <c r="R19" s="27"/>
      <c r="S19" s="27"/>
      <c r="T19" s="27"/>
      <c r="U19" s="27"/>
      <c r="V19" s="27"/>
      <c r="W19" s="27"/>
      <c r="X19" s="27"/>
      <c r="Y19" s="31"/>
      <c r="Z19" s="27"/>
    </row>
    <row r="20" spans="3:26" ht="18.5" hidden="1" x14ac:dyDescent="0.35">
      <c r="C20" s="251" t="s">
        <v>49</v>
      </c>
      <c r="D20" s="252">
        <v>400</v>
      </c>
      <c r="E20" s="185"/>
      <c r="F20" s="186"/>
      <c r="G20" s="186"/>
      <c r="H20" s="186"/>
      <c r="I20" s="187"/>
      <c r="J20" s="186"/>
      <c r="K20" s="186"/>
      <c r="L20" s="186"/>
      <c r="M20" s="186"/>
      <c r="N20" s="244" t="s">
        <v>50</v>
      </c>
      <c r="P20" s="28" t="s">
        <v>51</v>
      </c>
      <c r="Q20" s="28" t="s">
        <v>52</v>
      </c>
      <c r="S20" s="27"/>
      <c r="T20" s="27"/>
      <c r="U20" s="27"/>
      <c r="V20" s="27"/>
      <c r="W20" s="27"/>
      <c r="X20" s="27"/>
      <c r="Y20" s="31"/>
      <c r="Z20" s="27"/>
    </row>
    <row r="21" spans="3:26" ht="18.5" hidden="1" x14ac:dyDescent="0.35">
      <c r="C21" s="251" t="s">
        <v>53</v>
      </c>
      <c r="D21" s="252">
        <v>800</v>
      </c>
      <c r="E21" s="185"/>
      <c r="F21" s="186"/>
      <c r="G21" s="186"/>
      <c r="H21" s="186"/>
      <c r="I21" s="187"/>
      <c r="J21" s="186"/>
      <c r="K21" s="186"/>
      <c r="L21" s="186"/>
      <c r="M21" s="186"/>
      <c r="N21" s="244"/>
      <c r="P21" s="28"/>
      <c r="Q21" s="28"/>
      <c r="R21" s="27"/>
      <c r="S21" s="27"/>
      <c r="T21" s="27"/>
      <c r="U21" s="27"/>
      <c r="V21" s="27"/>
      <c r="W21" s="27"/>
      <c r="X21" s="27"/>
      <c r="Y21" s="31"/>
      <c r="Z21" s="27"/>
    </row>
    <row r="22" spans="3:26" ht="15.75" hidden="1" customHeight="1" x14ac:dyDescent="0.35">
      <c r="C22" s="249" t="s">
        <v>54</v>
      </c>
      <c r="D22" s="253">
        <v>0.88900000000000001</v>
      </c>
      <c r="E22" s="185"/>
      <c r="F22" s="186"/>
      <c r="G22" s="186"/>
      <c r="H22" s="186"/>
      <c r="I22" s="186"/>
      <c r="J22" s="186"/>
      <c r="K22" s="186"/>
      <c r="L22" s="186"/>
      <c r="M22" s="186"/>
      <c r="S22" s="27"/>
      <c r="T22" s="27"/>
      <c r="U22" s="27"/>
      <c r="V22" s="27"/>
      <c r="W22" s="27"/>
      <c r="X22" s="27"/>
      <c r="Y22" s="32"/>
    </row>
    <row r="23" spans="3:26" ht="18" hidden="1" customHeight="1" x14ac:dyDescent="0.35">
      <c r="C23" s="249" t="s">
        <v>55</v>
      </c>
      <c r="D23" s="253">
        <v>1.1419999999999999</v>
      </c>
      <c r="E23" s="188"/>
      <c r="F23" s="189"/>
      <c r="G23" s="189"/>
      <c r="H23" s="189"/>
      <c r="I23" s="189"/>
      <c r="J23" s="189"/>
      <c r="K23" s="189"/>
      <c r="L23" s="189"/>
      <c r="M23" s="189"/>
      <c r="X23" s="27"/>
    </row>
    <row r="24" spans="3:26" ht="18.5" hidden="1" x14ac:dyDescent="0.35">
      <c r="C24" s="249" t="s">
        <v>56</v>
      </c>
      <c r="D24" s="253">
        <f>Q41</f>
        <v>1.0469372563010424</v>
      </c>
      <c r="E24" s="188"/>
      <c r="F24" s="189"/>
      <c r="G24" s="189"/>
      <c r="H24" s="189"/>
      <c r="I24" s="189"/>
      <c r="J24" s="189"/>
      <c r="K24" s="189"/>
      <c r="L24" s="189"/>
      <c r="M24" s="189"/>
      <c r="N24" s="244"/>
      <c r="P24" s="28"/>
      <c r="Q24" s="28"/>
      <c r="X24" s="27"/>
    </row>
    <row r="25" spans="3:26" ht="18.5" hidden="1" x14ac:dyDescent="0.35">
      <c r="C25" s="249" t="s">
        <v>57</v>
      </c>
      <c r="D25" s="253">
        <v>1.0427528675703859</v>
      </c>
      <c r="E25" s="188"/>
      <c r="F25" s="189"/>
      <c r="G25" s="189"/>
      <c r="H25" s="189"/>
      <c r="I25" s="189"/>
      <c r="J25" s="189"/>
      <c r="K25" s="189"/>
      <c r="L25" s="189"/>
      <c r="M25" s="189"/>
      <c r="N25" s="244" t="s">
        <v>58</v>
      </c>
      <c r="P25" s="28"/>
      <c r="Q25" s="28"/>
      <c r="X25" s="27"/>
    </row>
    <row r="26" spans="3:26" ht="18.5" hidden="1" x14ac:dyDescent="0.35">
      <c r="C26" s="249" t="s">
        <v>59</v>
      </c>
      <c r="D26" s="253">
        <v>1</v>
      </c>
      <c r="E26" s="106"/>
      <c r="F26" s="102"/>
      <c r="G26" s="102"/>
      <c r="H26" s="102"/>
      <c r="I26" s="102"/>
      <c r="J26" s="102"/>
      <c r="K26" s="102"/>
      <c r="L26" s="102"/>
      <c r="M26" s="102"/>
      <c r="N26" s="244" t="s">
        <v>60</v>
      </c>
      <c r="P26" s="28" t="s">
        <v>61</v>
      </c>
      <c r="Q26" s="28" t="s">
        <v>62</v>
      </c>
      <c r="X26" s="27"/>
    </row>
    <row r="27" spans="3:26" ht="18" hidden="1" customHeight="1" x14ac:dyDescent="0.35">
      <c r="C27" s="254" t="s">
        <v>63</v>
      </c>
      <c r="D27" s="255">
        <v>1</v>
      </c>
      <c r="E27" s="106"/>
      <c r="F27" s="102"/>
      <c r="G27" s="102"/>
      <c r="H27" s="102"/>
      <c r="I27" s="102"/>
      <c r="J27" s="103"/>
      <c r="K27" s="103"/>
      <c r="L27" s="103"/>
      <c r="M27" s="103"/>
      <c r="N27" s="244" t="s">
        <v>64</v>
      </c>
      <c r="Q27" s="28"/>
    </row>
    <row r="28" spans="3:26" ht="18" hidden="1" customHeight="1" x14ac:dyDescent="0.35">
      <c r="C28" s="254" t="s">
        <v>65</v>
      </c>
      <c r="D28" s="256">
        <v>0.54930000000000001</v>
      </c>
      <c r="E28" s="106"/>
      <c r="F28" s="102"/>
      <c r="G28" s="102"/>
      <c r="H28" s="102"/>
      <c r="I28" s="102"/>
      <c r="J28" s="104"/>
      <c r="K28" s="104"/>
      <c r="L28" s="104"/>
      <c r="M28" s="103"/>
      <c r="N28" s="244" t="s">
        <v>66</v>
      </c>
      <c r="P28" s="348" t="s">
        <v>67</v>
      </c>
      <c r="Q28" s="348"/>
    </row>
    <row r="29" spans="3:26" ht="15.75" hidden="1" customHeight="1" x14ac:dyDescent="0.35">
      <c r="C29" s="254" t="s">
        <v>68</v>
      </c>
      <c r="D29" s="257">
        <v>6201.51</v>
      </c>
      <c r="E29" s="106"/>
      <c r="F29" s="102"/>
      <c r="G29" s="102"/>
      <c r="H29" s="102"/>
      <c r="I29" s="102"/>
      <c r="J29" s="104"/>
      <c r="K29" s="104"/>
      <c r="L29" s="104"/>
      <c r="M29" s="104"/>
      <c r="N29" s="105" t="s">
        <v>69</v>
      </c>
      <c r="P29" s="28" t="s">
        <v>70</v>
      </c>
      <c r="Q29" s="28" t="s">
        <v>71</v>
      </c>
    </row>
    <row r="30" spans="3:26" ht="15.75" hidden="1" customHeight="1" x14ac:dyDescent="0.35">
      <c r="C30" s="254" t="s">
        <v>72</v>
      </c>
      <c r="D30" s="252">
        <v>0.85099999999999998</v>
      </c>
      <c r="E30" s="106"/>
      <c r="F30" s="102"/>
      <c r="G30" s="102"/>
      <c r="H30" s="102"/>
      <c r="I30" s="102"/>
      <c r="J30" s="104"/>
      <c r="K30" s="104"/>
      <c r="L30" s="104"/>
      <c r="M30" s="104"/>
      <c r="N30" s="244" t="s">
        <v>73</v>
      </c>
    </row>
    <row r="31" spans="3:26" ht="8.25" hidden="1" customHeight="1" x14ac:dyDescent="0.35">
      <c r="C31" s="18"/>
      <c r="D31" s="18"/>
      <c r="E31" s="106"/>
      <c r="F31" s="102"/>
      <c r="G31" s="102"/>
      <c r="H31" s="102"/>
      <c r="I31" s="102"/>
      <c r="J31" s="104"/>
      <c r="K31" s="104"/>
      <c r="L31" s="104"/>
      <c r="M31" s="103"/>
      <c r="N31" s="103"/>
      <c r="O31" s="103"/>
      <c r="P31" s="103"/>
      <c r="Q31" s="103"/>
      <c r="R31" s="103"/>
      <c r="S31" s="103"/>
    </row>
    <row r="32" spans="3:26" ht="15.75" hidden="1" customHeight="1" x14ac:dyDescent="0.35">
      <c r="C32" s="258" t="s">
        <v>74</v>
      </c>
      <c r="D32" s="259" t="s">
        <v>75</v>
      </c>
      <c r="E32" s="106"/>
      <c r="F32" s="102"/>
      <c r="G32" s="102"/>
      <c r="H32" s="102"/>
      <c r="I32" s="102"/>
      <c r="J32" s="104"/>
      <c r="K32" s="104"/>
      <c r="L32" s="104"/>
      <c r="M32" s="103"/>
      <c r="N32" s="175"/>
      <c r="O32" s="172"/>
      <c r="P32" s="351" t="s">
        <v>76</v>
      </c>
      <c r="Q32" s="351"/>
      <c r="R32" s="172"/>
    </row>
    <row r="33" spans="2:20" hidden="1" x14ac:dyDescent="0.35">
      <c r="C33" s="211"/>
      <c r="D33" s="260" t="s">
        <v>77</v>
      </c>
      <c r="E33" s="106"/>
      <c r="F33" s="102"/>
      <c r="G33" s="102"/>
      <c r="H33" s="102"/>
      <c r="I33" s="102"/>
      <c r="J33" s="104"/>
      <c r="K33" s="104"/>
      <c r="L33" s="104"/>
      <c r="M33" s="104"/>
      <c r="N33" s="172"/>
      <c r="O33" s="172"/>
      <c r="P33" s="178"/>
      <c r="Q33" s="178"/>
      <c r="R33" s="172"/>
    </row>
    <row r="34" spans="2:20" hidden="1" x14ac:dyDescent="0.35">
      <c r="C34" s="349" t="s">
        <v>78</v>
      </c>
      <c r="D34" s="350"/>
      <c r="E34" s="106"/>
      <c r="F34" s="102"/>
      <c r="G34" s="102"/>
      <c r="H34" s="102"/>
      <c r="I34" s="102"/>
      <c r="J34" s="104"/>
      <c r="K34" s="104"/>
      <c r="L34" s="104"/>
      <c r="M34" s="104"/>
      <c r="N34" s="172"/>
      <c r="O34" s="172">
        <v>29</v>
      </c>
      <c r="P34" s="179" t="s">
        <v>10</v>
      </c>
      <c r="Q34" s="178" t="s">
        <v>79</v>
      </c>
      <c r="R34" s="172"/>
    </row>
    <row r="35" spans="2:20" hidden="1" x14ac:dyDescent="0.35">
      <c r="C35" s="261" t="s">
        <v>80</v>
      </c>
      <c r="D35" s="262" t="str">
        <f>IF(Efficiency_Rating=EER2_,"0",IF(Efficiency_Rating=IEER2,"0",IF(Efficiency_Rating=IEER,"0",IF(Efficiency_Rating=SEER2,"0",IF(Efficiency_Rating=SEER,"0",IF(Efficiency_Rating=EER,IF(System_Capacity__Mbtuh&lt;Capacity_65_Mbtuh,Q34,IF(System_Capacity__Mbtuh&gt;=Capacity_65_Mbtuh,IF(System_Capacity__Mbtuh&lt;Capacity_135_Mbtuh,I10,IF(System_Capacity__Mbtuh&gt;=Capacity_135_Mbtuh,IF(System_Capacity__Mbtuh&lt;Capacity_240_Mbtuh,I11,IF(System_Capacity__Mbtuh&gt;=Capacity_240_Mbtuh,IF(System_Capacity__Mbtuh&lt;Capacity_760_Mbtuh,I12,IF(System_Capacity__Mbtuh&gt;=Capacity_760_Mbtuh,I13))))))))))))))</f>
        <v>0</v>
      </c>
      <c r="E35" s="106"/>
      <c r="F35" s="102"/>
      <c r="G35" s="102"/>
      <c r="H35" s="102"/>
      <c r="I35" s="102"/>
      <c r="J35" s="104"/>
      <c r="K35" s="104"/>
      <c r="L35" s="104"/>
      <c r="M35" s="104"/>
      <c r="N35" s="175"/>
      <c r="O35" s="172">
        <v>30</v>
      </c>
      <c r="P35" s="172" t="s">
        <v>81</v>
      </c>
      <c r="Q35" s="178" t="s">
        <v>82</v>
      </c>
      <c r="R35" s="172"/>
    </row>
    <row r="36" spans="2:20" hidden="1" x14ac:dyDescent="0.35">
      <c r="C36" s="261" t="s">
        <v>83</v>
      </c>
      <c r="D36" s="262" t="str">
        <f>IF(Efficiency_Rating=SEER2,"0",IF(Efficiency_Rating=IEER2,"0",IF(Efficiency_Rating=EER2_,"0",IF(Efficiency_Rating=IEER,"0",IF(Efficiency_Rating=EER,"0",IF(System_Capacity__Mbtuh&gt;=Capacity_65_Mbtuh,Q35,IF(AND(Efficiency_Rating=SEER,Water_Cooled="No",System_Capacity__Mbtuh&lt;Capacity_65_Mbtuh),G8,G8)))))))</f>
        <v>0</v>
      </c>
      <c r="E36" s="106"/>
      <c r="F36" s="102"/>
      <c r="G36" s="102"/>
      <c r="H36" s="102"/>
      <c r="I36" s="102"/>
      <c r="J36" s="104"/>
      <c r="K36" s="104"/>
      <c r="L36" s="104"/>
      <c r="M36" s="104"/>
      <c r="N36" s="175"/>
      <c r="O36" s="172">
        <v>31</v>
      </c>
      <c r="P36" s="172" t="s">
        <v>12</v>
      </c>
      <c r="Q36" s="172"/>
      <c r="R36" s="172"/>
    </row>
    <row r="37" spans="2:20" hidden="1" x14ac:dyDescent="0.35">
      <c r="C37" s="261" t="s">
        <v>84</v>
      </c>
      <c r="D37" s="262" t="str">
        <f>IF(Efficiency_Rating=IEER2,"0",IF(Efficiency_Rating=EER2_,"0",IF(Efficiency_Rating=IEER,"0",IF(Efficiency_Rating=SEER,"0",IF(Efficiency_Rating=EER,"0",IF(Efficiency_Rating=SEER2,IF(System_Capacity__Mbtuh&gt;=Capacity_65_Mbtuh,Q35,E8)))))))</f>
        <v>0</v>
      </c>
      <c r="E37" s="106"/>
      <c r="F37" s="102"/>
      <c r="G37" s="102"/>
      <c r="H37" s="102"/>
      <c r="I37" s="102"/>
      <c r="J37" s="104"/>
      <c r="K37" s="104"/>
      <c r="L37" s="104"/>
      <c r="M37" s="104"/>
      <c r="N37" s="175"/>
      <c r="O37" s="172">
        <v>32</v>
      </c>
      <c r="P37" s="172" t="s">
        <v>9</v>
      </c>
      <c r="Q37" s="172"/>
      <c r="R37" s="172"/>
    </row>
    <row r="38" spans="2:20" hidden="1" x14ac:dyDescent="0.35">
      <c r="B38" s="263" t="s">
        <v>85</v>
      </c>
      <c r="C38" s="261" t="s">
        <v>86</v>
      </c>
      <c r="D38" s="262" t="str">
        <f>IF(Efficiency_Rating=IEER2,"0",IF(Efficiency_Rating=EER2_,"0",IF(Efficiency_Rating=SEER2,"0",IF(Efficiency_Rating=EER,"0",IF(Efficiency_Rating=SEER,"0",IF(System_Capacity__Mbtuh&lt;Capacity_65_Mbtuh,Q34,IF(Efficiency_Rating=IEER,IF(System_Capacity__Mbtuh&gt;=Capacity_65_Mbtuh,IF(System_Capacity__Mbtuh&lt;Capacity_135_Mbtuh,M10,IF(Efficiency_Rating=IEER,IF(System_Capacity__Mbtuh&gt;=Capacity_135_Mbtuh,IF(System_Capacity__Mbtuh&lt;Capacity_240_Mbtuh,M11,IF(Efficiency_Rating=IEER,IF(System_Capacity__Mbtuh&gt;=Capacity_240_Mbtuh,IF(System_Capacity__Mbtuh&lt;Capacity_760_Mbtuh,M12,IF(Efficiency_Rating=IEER,IF(System_Capacity__Mbtuh&gt;=Capacity_760_Mbtuh,M13)))))))))))))))))</f>
        <v>0</v>
      </c>
      <c r="E38" s="106"/>
      <c r="F38" s="102"/>
      <c r="G38" s="102"/>
      <c r="H38" s="102"/>
      <c r="I38" s="102"/>
      <c r="J38" s="104"/>
      <c r="K38" s="104"/>
      <c r="L38" s="104"/>
      <c r="M38" s="104"/>
      <c r="N38" s="175"/>
      <c r="O38" s="172">
        <v>33</v>
      </c>
      <c r="P38" s="172" t="s">
        <v>87</v>
      </c>
      <c r="Q38" s="172"/>
      <c r="R38" s="172"/>
    </row>
    <row r="39" spans="2:20" hidden="1" x14ac:dyDescent="0.35">
      <c r="B39" s="263"/>
      <c r="C39" s="261" t="s">
        <v>88</v>
      </c>
      <c r="D39" s="262">
        <f>IF(Efficiency_Rating=IEER2,"0",IF(Efficiency_Rating=SEER2,"0",IF(Efficiency_Rating=IEER,"0",IF(Efficiency_Rating=SEER,"0",IF(Efficiency_Rating=EER,"0",IF(Efficiency_Rating=EER2_,IF(System_Capacity__Mbtuh&gt;=Capacity_65_Mbtuh,Q35,D9*D6)))))))</f>
        <v>12.943064798598952</v>
      </c>
      <c r="E39" s="106"/>
      <c r="F39" s="102"/>
      <c r="G39" s="102"/>
      <c r="H39" s="102"/>
      <c r="I39" s="102"/>
      <c r="J39" s="104"/>
      <c r="K39" s="104"/>
      <c r="L39" s="104"/>
      <c r="M39" s="104"/>
      <c r="N39" s="175"/>
      <c r="O39" s="172">
        <v>34</v>
      </c>
      <c r="P39" s="172" t="s">
        <v>11</v>
      </c>
      <c r="Q39" s="172"/>
      <c r="R39" s="172"/>
    </row>
    <row r="40" spans="2:20" hidden="1" x14ac:dyDescent="0.35">
      <c r="B40" s="263"/>
      <c r="C40" s="261" t="s">
        <v>89</v>
      </c>
      <c r="D40" s="262" t="str">
        <f>IF(Efficiency_Rating=IEER,"0",IF(Efficiency_Rating=EER2_,"0",IF(Efficiency_Rating=SEER2,"0",IF(Efficiency_Rating=EER,"0",IF(Efficiency_Rating=SEER,"0",IF(System_Capacity__Mbtuh&lt;Capacity_65_Mbtuh,Q34,IF(Efficiency_Rating=IEER2,IF(System_Capacity__Mbtuh&gt;=Capacity_65_Mbtuh,IF(System_Capacity__Mbtuh&lt;Capacity_135_Mbtuh,K10,IF(Efficiency_Rating=IEER2,IF(System_Capacity__Mbtuh&gt;=Capacity_135_Mbtuh,IF(System_Capacity__Mbtuh&lt;Capacity_240_Mbtuh,K11,IF(Efficiency_Rating=IEER2,IF(System_Capacity__Mbtuh&gt;=Capacity_240_Mbtuh,IF(System_Capacity__Mbtuh&lt;Capacity_760_Mbtuh,K12,IF(Efficiency_Rating=IEER2,IF(System_Capacity__Mbtuh&gt;=Capacity_760_Mbtuh,K13)))))))))))))))))</f>
        <v>0</v>
      </c>
      <c r="E40" s="106"/>
      <c r="F40" s="102"/>
      <c r="G40" s="102"/>
      <c r="H40" s="102"/>
      <c r="I40" s="102"/>
      <c r="J40" s="104"/>
      <c r="K40" s="104"/>
      <c r="L40" s="104"/>
      <c r="M40" s="104"/>
      <c r="N40" s="175"/>
      <c r="O40" s="172"/>
      <c r="P40" s="172"/>
      <c r="Q40" s="172"/>
      <c r="R40" s="172"/>
    </row>
    <row r="41" spans="2:20" ht="18.5" hidden="1" x14ac:dyDescent="0.35">
      <c r="C41" s="261" t="s">
        <v>90</v>
      </c>
      <c r="D41" s="262">
        <f>IF(Base_Efficiency_EER=SEER,MAX(D36:D37)/D6,IF(Base_Efficiency_EER=SEER2,MAX(D36:D37)/D6,MAX(D35,D38,D39,D40)/D6))</f>
        <v>12.096322241681262</v>
      </c>
      <c r="E41" s="106"/>
      <c r="F41" s="102"/>
      <c r="G41" s="102"/>
      <c r="H41" s="102"/>
      <c r="I41" s="102"/>
      <c r="J41" s="104"/>
      <c r="K41" s="104"/>
      <c r="L41" s="104"/>
      <c r="M41" s="104"/>
      <c r="N41" s="175" t="s">
        <v>91</v>
      </c>
      <c r="O41" s="172"/>
      <c r="P41" s="172" t="s">
        <v>92</v>
      </c>
      <c r="Q41" s="176">
        <f>'ASHRAE Std 90.1'!C64</f>
        <v>1.0469372563010424</v>
      </c>
      <c r="R41" s="172" t="s">
        <v>93</v>
      </c>
      <c r="T41" s="28"/>
    </row>
    <row r="42" spans="2:20" hidden="1" x14ac:dyDescent="0.35">
      <c r="C42" s="261" t="s">
        <v>94</v>
      </c>
      <c r="D42" s="262">
        <f>New_EER_SEER2_IEER</f>
        <v>17</v>
      </c>
      <c r="E42" s="106"/>
      <c r="F42" s="102"/>
      <c r="G42" s="102"/>
      <c r="H42" s="102"/>
      <c r="I42" s="102"/>
      <c r="J42" s="104"/>
      <c r="K42" s="104"/>
      <c r="L42" s="104"/>
      <c r="M42" s="104"/>
      <c r="N42" s="175" t="s">
        <v>95</v>
      </c>
      <c r="O42" s="172"/>
      <c r="P42" s="172" t="s">
        <v>57</v>
      </c>
      <c r="Q42" s="176">
        <f>'ASHRAE Std 90.1'!C82</f>
        <v>1.0425813242498667</v>
      </c>
      <c r="R42" s="172" t="s">
        <v>96</v>
      </c>
    </row>
    <row r="43" spans="2:20" hidden="1" x14ac:dyDescent="0.35">
      <c r="C43" s="261" t="s">
        <v>97</v>
      </c>
      <c r="D43" s="264" t="str">
        <f>IF(AND(Efficiency_Rating=EER,Calculated_New_Efficiency&lt;D35),P47,IF(AND(Efficiency_Rating=SEER,Calculated_New_Efficiency&lt;D36),P47,IF(AND(Efficiency_Rating=SEER2,Calculated_New_Efficiency&lt;D37),P47,IF(AND(Efficiency_Rating=IEER,Calculated_New_Efficiency&lt;D38),P47,IF(AND(Efficiency_Rating=EER2_,Calculated_New_Efficiency&lt;D39),P47,IF(AND(Efficiency_Rating=IEER2,Calculated_New_Efficiency&lt;D40),P47,P48))))))</f>
        <v>Qualify</v>
      </c>
      <c r="E43" s="107"/>
      <c r="F43" s="102"/>
      <c r="G43" s="102"/>
      <c r="H43" s="102"/>
      <c r="I43" s="102"/>
      <c r="J43" s="104"/>
      <c r="K43" s="104"/>
      <c r="L43" s="104"/>
      <c r="M43" s="104"/>
      <c r="N43" s="175"/>
      <c r="O43" s="172"/>
      <c r="P43" s="177" t="s">
        <v>98</v>
      </c>
      <c r="Q43" s="177">
        <v>1.246</v>
      </c>
      <c r="R43" s="172"/>
    </row>
    <row r="44" spans="2:20" ht="7.5" customHeight="1" thickBot="1" x14ac:dyDescent="0.4">
      <c r="C44" s="18"/>
      <c r="D44" s="18"/>
      <c r="E44" s="18"/>
      <c r="F44" s="102"/>
      <c r="G44" s="102"/>
      <c r="H44" s="102"/>
      <c r="I44" s="102"/>
      <c r="J44" s="104"/>
      <c r="K44" s="104"/>
      <c r="L44" s="104"/>
      <c r="M44" s="104"/>
      <c r="N44" s="175"/>
      <c r="O44" s="172"/>
      <c r="P44" s="172" t="s">
        <v>99</v>
      </c>
      <c r="Q44" s="172">
        <v>1</v>
      </c>
      <c r="R44" s="172" t="s">
        <v>100</v>
      </c>
    </row>
    <row r="45" spans="2:20" ht="23" thickTop="1" x14ac:dyDescent="0.45">
      <c r="C45" s="19" t="s">
        <v>101</v>
      </c>
      <c r="D45" s="20"/>
      <c r="E45" s="110"/>
      <c r="F45" s="102"/>
      <c r="G45" s="102"/>
      <c r="H45" s="102"/>
      <c r="I45" s="102"/>
      <c r="J45" s="104"/>
      <c r="K45" s="104"/>
      <c r="L45" s="104"/>
      <c r="M45" s="104"/>
      <c r="N45" s="175"/>
      <c r="O45" s="172"/>
      <c r="P45" s="172"/>
      <c r="Q45" s="172"/>
      <c r="R45" s="172"/>
    </row>
    <row r="46" spans="2:20" x14ac:dyDescent="0.35">
      <c r="C46" s="265" t="s">
        <v>102</v>
      </c>
      <c r="D46" s="266" t="s">
        <v>87</v>
      </c>
      <c r="E46" s="108"/>
      <c r="F46" s="100"/>
      <c r="G46" s="100"/>
      <c r="H46" s="100"/>
      <c r="I46" s="100"/>
      <c r="J46" s="104"/>
      <c r="K46" s="104"/>
      <c r="L46" s="104"/>
      <c r="M46" s="104"/>
      <c r="N46" s="175"/>
      <c r="O46" s="172"/>
      <c r="P46" s="172"/>
      <c r="Q46" s="172"/>
      <c r="R46" s="172"/>
    </row>
    <row r="47" spans="2:20" ht="18.75" customHeight="1" x14ac:dyDescent="0.35">
      <c r="C47" s="265" t="s">
        <v>74</v>
      </c>
      <c r="D47" s="266" t="s">
        <v>75</v>
      </c>
      <c r="E47" s="108"/>
      <c r="F47" s="101"/>
      <c r="G47" s="101"/>
      <c r="H47" s="101"/>
      <c r="I47" s="101"/>
      <c r="J47" s="104"/>
      <c r="K47" s="104"/>
      <c r="L47" s="104"/>
      <c r="M47" s="104"/>
      <c r="N47" s="175"/>
      <c r="O47" s="172"/>
      <c r="P47" s="172" t="s">
        <v>103</v>
      </c>
      <c r="Q47" s="172" t="s">
        <v>104</v>
      </c>
      <c r="R47" s="172"/>
    </row>
    <row r="48" spans="2:20" x14ac:dyDescent="0.35">
      <c r="C48" s="265" t="s">
        <v>105</v>
      </c>
      <c r="D48" s="266" t="s">
        <v>75</v>
      </c>
      <c r="E48" s="108"/>
      <c r="F48" s="18"/>
      <c r="G48" s="18"/>
      <c r="H48" s="18"/>
      <c r="I48" s="18"/>
      <c r="J48" s="18"/>
      <c r="K48" s="104"/>
      <c r="L48" s="104"/>
      <c r="M48" s="104"/>
      <c r="N48" s="172"/>
      <c r="O48" s="172"/>
      <c r="P48" s="172" t="s">
        <v>106</v>
      </c>
      <c r="Q48" s="172"/>
      <c r="R48" s="172"/>
    </row>
    <row r="49" spans="2:18" ht="22.5" x14ac:dyDescent="0.45">
      <c r="C49" s="265" t="s">
        <v>107</v>
      </c>
      <c r="D49" s="266">
        <v>64</v>
      </c>
      <c r="E49" s="108"/>
      <c r="F49" s="110"/>
      <c r="G49" s="110"/>
      <c r="H49" s="110"/>
      <c r="I49" s="110"/>
      <c r="J49" s="18"/>
      <c r="K49" s="104"/>
      <c r="L49" s="104"/>
      <c r="M49" s="104"/>
      <c r="N49" s="172"/>
      <c r="O49" s="172"/>
      <c r="P49" s="172"/>
      <c r="Q49" s="172"/>
      <c r="R49" s="172"/>
    </row>
    <row r="50" spans="2:18" ht="16" customHeight="1" x14ac:dyDescent="0.35">
      <c r="C50" s="265" t="s">
        <v>108</v>
      </c>
      <c r="D50" s="266">
        <v>17</v>
      </c>
      <c r="E50" s="108"/>
      <c r="F50" s="108"/>
      <c r="G50" s="108"/>
      <c r="H50" s="108"/>
      <c r="I50" s="108"/>
      <c r="J50" s="18"/>
      <c r="K50" s="104"/>
      <c r="L50" s="104"/>
      <c r="M50" s="104"/>
      <c r="N50" s="172"/>
      <c r="O50" s="172"/>
      <c r="P50" s="182" t="s">
        <v>109</v>
      </c>
      <c r="Q50" s="182" t="s">
        <v>110</v>
      </c>
      <c r="R50" s="182" t="s">
        <v>111</v>
      </c>
    </row>
    <row r="51" spans="2:18" ht="16" customHeight="1" x14ac:dyDescent="0.35">
      <c r="C51" s="265" t="s">
        <v>112</v>
      </c>
      <c r="D51" s="267">
        <v>1</v>
      </c>
      <c r="E51" s="108"/>
      <c r="F51" s="108"/>
      <c r="G51" s="108"/>
      <c r="H51" s="108"/>
      <c r="I51" s="108"/>
      <c r="J51" s="108"/>
      <c r="K51" s="104"/>
      <c r="L51" s="104"/>
      <c r="M51" s="104"/>
      <c r="N51" s="172"/>
      <c r="O51" s="172"/>
      <c r="P51" s="183" t="s">
        <v>113</v>
      </c>
      <c r="Q51" s="183" t="s">
        <v>114</v>
      </c>
      <c r="R51" s="183" t="s">
        <v>115</v>
      </c>
    </row>
    <row r="52" spans="2:18" ht="16" customHeight="1" x14ac:dyDescent="0.45">
      <c r="C52" s="268"/>
      <c r="D52" s="269"/>
      <c r="E52" s="109"/>
      <c r="F52" s="108"/>
      <c r="G52" s="108"/>
      <c r="H52" s="108"/>
      <c r="I52" s="108"/>
      <c r="J52" s="108"/>
      <c r="K52" s="104"/>
      <c r="L52" s="104"/>
      <c r="M52" s="104"/>
      <c r="N52" s="184"/>
      <c r="O52" s="172"/>
      <c r="P52" s="183" t="s">
        <v>116</v>
      </c>
      <c r="Q52" s="183" t="s">
        <v>117</v>
      </c>
      <c r="R52" s="183" t="s">
        <v>118</v>
      </c>
    </row>
    <row r="53" spans="2:18" ht="6" customHeight="1" x14ac:dyDescent="0.45">
      <c r="C53" s="181" t="s">
        <v>119</v>
      </c>
      <c r="D53" s="270"/>
      <c r="E53" s="205"/>
      <c r="F53" s="108"/>
      <c r="G53" s="108"/>
      <c r="H53" s="108"/>
      <c r="I53" s="108"/>
      <c r="J53" s="108"/>
      <c r="K53" s="104"/>
      <c r="L53" s="104"/>
      <c r="M53" s="104"/>
      <c r="N53" s="172"/>
      <c r="O53" s="172"/>
      <c r="P53" s="183" t="s">
        <v>120</v>
      </c>
      <c r="Q53" s="183" t="s">
        <v>121</v>
      </c>
      <c r="R53" s="183" t="s">
        <v>122</v>
      </c>
    </row>
    <row r="54" spans="2:18" ht="16" customHeight="1" x14ac:dyDescent="0.45">
      <c r="C54" s="212"/>
      <c r="D54" s="213" t="s">
        <v>123</v>
      </c>
      <c r="E54" s="201" t="s">
        <v>124</v>
      </c>
      <c r="F54" s="199"/>
      <c r="G54" s="199"/>
      <c r="H54" s="199"/>
      <c r="I54" s="199"/>
      <c r="J54" s="109"/>
      <c r="K54" s="104"/>
      <c r="L54" s="104"/>
      <c r="M54" s="104"/>
      <c r="N54" s="172"/>
      <c r="O54" s="172"/>
      <c r="P54" s="183" t="s">
        <v>125</v>
      </c>
      <c r="Q54" s="183" t="s">
        <v>126</v>
      </c>
      <c r="R54" s="183" t="s">
        <v>127</v>
      </c>
    </row>
    <row r="55" spans="2:18" ht="15.75" customHeight="1" x14ac:dyDescent="0.45">
      <c r="C55" s="210" t="s">
        <v>128</v>
      </c>
      <c r="D55" s="271">
        <f>IF(D43=P47,P47,IF(Water_Cooled="yes",(System_Capacity__Mbtuh/12)*(12/Calculated_Base_Efficiency-12/Calculated_New_Efficiency)*BES_Factor*Water_Cooled_Weighted_Average*D51,(System_Capacity__Mbtuh/12)*(12/Calculated_Base_Efficiency-12/Calculated_New_Efficiency)*BES_Factor*D51))</f>
        <v>1.1545983937863542</v>
      </c>
      <c r="E55" s="202">
        <f>IF(D43=P47,P47,IF(Water_Cooled="yes",(System_Capacity__Mbtuh/12)*(12/Calculated_Base_Efficiency-12/Calculated_New_Efficiency)*BES_Factor*Water_Cooled_Weighted_Average,(System_Capacity__Mbtuh/12)*(12/Calculated_Base_Efficiency-12/Calculated_New_Efficiency)*BES_Factor))</f>
        <v>1.1545983937863542</v>
      </c>
      <c r="F55" s="200"/>
      <c r="G55" s="200"/>
      <c r="H55" s="200"/>
      <c r="I55" s="200"/>
      <c r="J55" s="109"/>
      <c r="K55" s="104"/>
      <c r="L55" s="104"/>
      <c r="M55" s="104"/>
      <c r="N55" s="172"/>
      <c r="O55" s="172"/>
      <c r="P55" s="183" t="s">
        <v>129</v>
      </c>
      <c r="Q55" s="183" t="s">
        <v>130</v>
      </c>
      <c r="R55" s="183" t="s">
        <v>127</v>
      </c>
    </row>
    <row r="56" spans="2:18" ht="16" customHeight="1" x14ac:dyDescent="0.35">
      <c r="C56" s="210" t="s">
        <v>131</v>
      </c>
      <c r="D56" s="271">
        <f>D55*DX_SkW</f>
        <v>1.1545983937863542</v>
      </c>
      <c r="E56" s="202">
        <f>IF(D43=P47,P47,KW_reduction_at_meter*Summer_kW_Factor)</f>
        <v>1.1545983937863542</v>
      </c>
      <c r="F56" s="201"/>
      <c r="G56" s="201"/>
      <c r="H56" s="201"/>
      <c r="I56" s="201"/>
      <c r="J56" s="18"/>
      <c r="K56" s="104"/>
      <c r="L56" s="104"/>
      <c r="M56" s="104"/>
      <c r="N56" s="172"/>
      <c r="O56" s="172"/>
      <c r="P56" s="172"/>
      <c r="Q56" s="172"/>
      <c r="R56" s="172"/>
    </row>
    <row r="57" spans="2:18" x14ac:dyDescent="0.35">
      <c r="C57" s="210" t="s">
        <v>132</v>
      </c>
      <c r="D57" s="271">
        <f>IF(D47=D32,D55*Winter_kW_Factor,0)</f>
        <v>0.63422089770684442</v>
      </c>
      <c r="E57" s="202">
        <f>IF(D43=P47,P47,IF(D47=D32,KW_reduction_at_meter*Winter_kW_Factor,0))</f>
        <v>0.63422089770684442</v>
      </c>
      <c r="F57" s="201"/>
      <c r="G57" s="166" t="s">
        <v>133</v>
      </c>
      <c r="H57" s="166"/>
      <c r="I57" s="166"/>
      <c r="J57" s="161"/>
      <c r="K57" s="104"/>
      <c r="L57" s="104"/>
      <c r="M57" s="104"/>
      <c r="N57" s="172"/>
      <c r="O57" s="172"/>
      <c r="P57" s="172"/>
      <c r="Q57" s="173" t="s">
        <v>134</v>
      </c>
      <c r="R57" s="173" t="s">
        <v>135</v>
      </c>
    </row>
    <row r="58" spans="2:18" ht="13.5" customHeight="1" x14ac:dyDescent="0.35">
      <c r="C58" s="210" t="s">
        <v>136</v>
      </c>
      <c r="D58" s="271">
        <f>IF(D43=P47,P47,D55*DX_kWh)</f>
        <v>7160.2534850500133</v>
      </c>
      <c r="E58" s="202">
        <f>IF(D43=P47,P47,Summer_KW_reduction__SKW*DX_kWh)</f>
        <v>7160.2534850500133</v>
      </c>
      <c r="F58" s="202"/>
      <c r="G58" s="167">
        <f>IF(D43=P47,P47,IF(Water_Cooled="yes",(System_Capacity__Mbtuh/12)*(12/Calculated_Base_Efficiency-12/Calculated_New_Efficiency)*BES_Factor*Water_Cooled_Weighted_Average,(System_Capacity__Mbtuh/12)*(12/Calculated_Base_Efficiency-12/Calculated_New_Efficiency)*BES_Factor))</f>
        <v>1.1545983937863542</v>
      </c>
      <c r="H58" s="168">
        <f>IF(D43=P47,P47,IF(Efficiency_Rating=EER,((System_Capacity__Mbtuh/12)*(12/Calculated_Base_Efficiency-12/Calculated_New_Efficiency))*BES_Factor,IF(Efficiency_Rating=P37,((System_Capacity__Mbtuh/12)*(12/Calculated_Base_Efficiency-12/Calculated_New_Efficiency))*BES_Factor,IF(Efficiency_Rating=IEER,IF(Calculated_New_Efficiency&lt;=Calculated_Base_Efficiency,P47,(System_Capacity__Mbtuh/12)*(12/(Calculated_Base_Efficiency)-12/Calculated_New_Efficiency))*BES_Factor,IF(Efficiency_Rating=SEER2,(System_Capacity__Mbtuh/12)*(12/Calculated_Base_Efficiency-12/Calculated_New_Efficiency))*BES_Factor))))</f>
        <v>0</v>
      </c>
      <c r="I58" s="168">
        <f>IF(KW_reduction_at_meter=P47,P47,IF(Water_Cooled="yes",KW_reduction_at_meter*Water_Cooled_Weighted_Average*D51,KW_reduction_at_meter*D51))</f>
        <v>0.98256323311218741</v>
      </c>
      <c r="J58" s="161"/>
      <c r="K58" s="104"/>
      <c r="L58" s="104"/>
      <c r="M58" s="104"/>
      <c r="N58" s="172"/>
      <c r="O58" s="172"/>
      <c r="P58" s="172" t="s">
        <v>137</v>
      </c>
      <c r="Q58" s="172">
        <v>1.0745</v>
      </c>
      <c r="R58" s="174">
        <f>D55*Q58</f>
        <v>1.2406159741234377</v>
      </c>
    </row>
    <row r="59" spans="2:18" x14ac:dyDescent="0.35">
      <c r="B59" s="263" t="s">
        <v>138</v>
      </c>
      <c r="C59" s="210" t="s">
        <v>139</v>
      </c>
      <c r="D59" s="272">
        <f>IF(D55="DNQ","DNQ",IF(System_Capacity__Mbtuh&lt;65,D19*D51,IF(System_Capacity__Mbtuh&lt;135,D20*D51,IF(System_Capacity__Mbtuh&lt;240,D21*D51,(DX_Inc*D56)))))</f>
        <v>200</v>
      </c>
      <c r="E59" s="206">
        <f>IF(Summer_KW_reduction__SKW="DNQ",0,Summer_KW_reduction__SKW*G62)</f>
        <v>190.50873497474845</v>
      </c>
      <c r="F59" s="202"/>
      <c r="G59" s="168"/>
      <c r="H59" s="168">
        <f>IF(KW_reduction_at_meter=P47,P47,IF(Water_Cooled="yes",KW_reduction_at_meter*Water_Cooled_Weighted_Average*D51,KW_reduction_at_meter*D51))</f>
        <v>0.98256323311218741</v>
      </c>
      <c r="I59" s="168">
        <f>IF(Water_Cooled="yes",Summer_KW_reduction__SKW*Water_Cooled_Weighted_Average,Summer_KW_reduction__SKW)</f>
        <v>0.98256323311218741</v>
      </c>
      <c r="J59" s="162"/>
      <c r="K59" s="104"/>
      <c r="L59" s="104"/>
      <c r="M59" s="104"/>
      <c r="N59" s="176"/>
      <c r="O59" s="172"/>
      <c r="P59" s="172" t="s">
        <v>140</v>
      </c>
      <c r="Q59" s="172">
        <v>1.0579000000000001</v>
      </c>
      <c r="R59" s="174">
        <f>D58*Q59</f>
        <v>7574.8321618344098</v>
      </c>
    </row>
    <row r="60" spans="2:18" ht="9" customHeight="1" x14ac:dyDescent="0.35">
      <c r="C60" s="156" t="s">
        <v>141</v>
      </c>
      <c r="D60" s="157" t="s">
        <v>142</v>
      </c>
      <c r="E60" s="203"/>
      <c r="F60" s="204"/>
      <c r="G60" s="168"/>
      <c r="H60" s="168"/>
      <c r="I60" s="168">
        <f>IF(Water_Cooled="yes",Winter_KW_reduction__WKW*Water_Cooled_Weighted_Average,Winter_KW_reduction__WKW)</f>
        <v>0.53972198394852455</v>
      </c>
      <c r="J60" s="161"/>
      <c r="K60" s="104"/>
      <c r="L60" s="104"/>
      <c r="M60" s="104"/>
      <c r="N60" s="176"/>
      <c r="O60" s="172"/>
      <c r="P60" s="172"/>
      <c r="Q60" s="172"/>
      <c r="R60" s="172"/>
    </row>
    <row r="61" spans="2:18" x14ac:dyDescent="0.35">
      <c r="C61" s="21" t="s">
        <v>143</v>
      </c>
      <c r="D61" s="22" t="s">
        <v>144</v>
      </c>
      <c r="E61" s="203"/>
      <c r="F61" s="204"/>
      <c r="G61" s="168"/>
      <c r="H61" s="168"/>
      <c r="I61" s="168">
        <f>IF(Water_Cooled="yes",kWh_reduction__KWH*Water_Cooled_Weighted_Average,kWh_reduction__KWH)</f>
        <v>6093.3757157775608</v>
      </c>
      <c r="J61" s="161"/>
      <c r="K61" s="104"/>
      <c r="L61" s="104"/>
      <c r="M61" s="104"/>
      <c r="N61" s="176"/>
      <c r="O61" s="172"/>
      <c r="P61" s="172"/>
      <c r="Q61" s="172"/>
      <c r="R61" s="172"/>
    </row>
    <row r="62" spans="2:18" x14ac:dyDescent="0.35">
      <c r="C62" s="21" t="s">
        <v>143</v>
      </c>
      <c r="D62" s="22" t="s">
        <v>145</v>
      </c>
      <c r="E62" s="203"/>
      <c r="F62" s="204"/>
      <c r="G62" s="169">
        <v>165</v>
      </c>
      <c r="H62" s="170"/>
      <c r="I62" s="171">
        <f>IF(D55="DNQ","DNQ",IF(System_Capacity__Mbtuh&lt;65,D19,IF(System_Capacity__Mbtuh&lt;135,D20,IF(System_Capacity__Mbtuh&lt;240,D21,IF(Water_Cooled="yes",Rebate_amount*D30,Rebate_amount))))*D51)</f>
        <v>200</v>
      </c>
      <c r="J62" s="163"/>
      <c r="K62" s="104"/>
      <c r="L62" s="104"/>
      <c r="M62" s="104"/>
      <c r="N62" s="176"/>
      <c r="O62" s="172"/>
      <c r="P62" s="172" t="s">
        <v>146</v>
      </c>
      <c r="Q62" s="172"/>
      <c r="R62" s="172"/>
    </row>
    <row r="63" spans="2:18" x14ac:dyDescent="0.35">
      <c r="C63" s="21" t="s">
        <v>147</v>
      </c>
      <c r="D63" s="22" t="s">
        <v>148</v>
      </c>
      <c r="E63" s="203"/>
      <c r="F63" s="204"/>
      <c r="G63" s="169"/>
      <c r="H63" s="170"/>
      <c r="I63" s="171"/>
      <c r="J63" s="161"/>
      <c r="K63" s="104"/>
      <c r="L63" s="104"/>
      <c r="M63" s="104"/>
      <c r="N63" s="176"/>
      <c r="O63" s="172"/>
      <c r="P63" s="172" t="s">
        <v>149</v>
      </c>
      <c r="Q63" s="172"/>
      <c r="R63" s="172"/>
    </row>
    <row r="64" spans="2:18" ht="15" thickBot="1" x14ac:dyDescent="0.4">
      <c r="C64" s="21" t="s">
        <v>147</v>
      </c>
      <c r="D64" s="23" t="s">
        <v>150</v>
      </c>
      <c r="E64" s="18"/>
      <c r="F64" s="111"/>
      <c r="G64" s="164"/>
      <c r="H64" s="164"/>
      <c r="I64" s="164"/>
      <c r="J64" s="165"/>
      <c r="K64" s="104"/>
      <c r="L64" s="104"/>
      <c r="M64" s="104"/>
      <c r="N64" s="172"/>
      <c r="O64" s="172"/>
      <c r="P64" s="172" t="s">
        <v>151</v>
      </c>
      <c r="Q64" s="172"/>
      <c r="R64" s="172"/>
    </row>
    <row r="65" spans="1:32" ht="15" thickTop="1" x14ac:dyDescent="0.35">
      <c r="C65" s="18"/>
      <c r="D65" s="18"/>
      <c r="E65" s="111"/>
      <c r="F65" s="112"/>
      <c r="G65" s="18"/>
      <c r="H65" s="18"/>
      <c r="I65" s="18"/>
      <c r="J65" s="18"/>
      <c r="K65" s="18"/>
      <c r="L65" s="18"/>
      <c r="M65" s="18"/>
    </row>
    <row r="66" spans="1:32" hidden="1" x14ac:dyDescent="0.35">
      <c r="C66" s="27"/>
      <c r="D66" s="111" t="s">
        <v>142</v>
      </c>
      <c r="E66" s="33"/>
      <c r="F66" s="112"/>
      <c r="G66" s="111"/>
      <c r="H66" s="111"/>
      <c r="I66" s="111"/>
      <c r="J66" s="18"/>
      <c r="K66" s="18"/>
      <c r="L66" s="18"/>
      <c r="M66" s="18"/>
    </row>
    <row r="67" spans="1:32" ht="15" hidden="1" thickTop="1" x14ac:dyDescent="0.35">
      <c r="C67" s="33"/>
      <c r="D67" s="33"/>
      <c r="E67" s="116"/>
      <c r="F67" s="112"/>
      <c r="G67" s="112"/>
      <c r="H67" s="112"/>
      <c r="I67" s="112"/>
      <c r="J67" s="18"/>
      <c r="K67" s="18"/>
      <c r="L67" s="18"/>
      <c r="M67" s="18"/>
    </row>
    <row r="68" spans="1:32" ht="16" hidden="1" thickTop="1" x14ac:dyDescent="0.35">
      <c r="C68" s="114" t="s">
        <v>152</v>
      </c>
      <c r="D68" s="115" t="s">
        <v>153</v>
      </c>
      <c r="E68" s="119"/>
      <c r="F68" s="18"/>
      <c r="G68" s="112"/>
      <c r="H68" s="112"/>
      <c r="I68" s="112"/>
      <c r="J68" s="18"/>
      <c r="K68" s="18"/>
      <c r="L68" s="18"/>
      <c r="M68" s="18"/>
    </row>
    <row r="69" spans="1:32" ht="15.5" hidden="1" x14ac:dyDescent="0.35">
      <c r="C69" s="118" t="s">
        <v>154</v>
      </c>
      <c r="D69" s="119">
        <v>7.0000000000000007E-2</v>
      </c>
      <c r="E69" s="43"/>
      <c r="F69" s="111"/>
      <c r="G69" s="112"/>
      <c r="H69" s="112"/>
      <c r="I69" s="112"/>
      <c r="J69" s="18"/>
      <c r="K69" s="18"/>
      <c r="L69" s="18"/>
      <c r="M69" s="18"/>
    </row>
    <row r="70" spans="1:32" ht="20.5" hidden="1" thickTop="1" x14ac:dyDescent="0.4">
      <c r="C70" s="121">
        <v>0.88900000000000001</v>
      </c>
      <c r="D70" s="118" t="s">
        <v>155</v>
      </c>
      <c r="E70" s="159"/>
      <c r="F70" s="33"/>
      <c r="G70" s="18"/>
      <c r="H70" s="18"/>
      <c r="I70" s="18"/>
      <c r="J70" s="18"/>
      <c r="K70" s="18"/>
      <c r="L70" s="18"/>
      <c r="M70" s="18"/>
    </row>
    <row r="71" spans="1:32" s="18" customFormat="1" ht="20.5" hidden="1" thickTop="1" x14ac:dyDescent="0.4">
      <c r="C71" s="159"/>
      <c r="D71" s="159"/>
      <c r="E71" s="58"/>
      <c r="F71" s="116"/>
      <c r="G71" s="111"/>
      <c r="H71" s="111"/>
      <c r="I71" s="111"/>
    </row>
    <row r="72" spans="1:32" s="27" customFormat="1" ht="15.5" hidden="1" x14ac:dyDescent="0.35">
      <c r="A72" s="33"/>
      <c r="B72" s="33"/>
      <c r="C72" s="58"/>
      <c r="D72" s="58"/>
      <c r="E72" s="123"/>
      <c r="F72" s="119"/>
      <c r="G72" s="33"/>
      <c r="H72" s="33"/>
      <c r="I72" s="33"/>
      <c r="J72" s="33"/>
      <c r="K72" s="33"/>
      <c r="L72" s="33"/>
      <c r="M72" s="33"/>
      <c r="N72" s="33"/>
      <c r="O72" s="33"/>
      <c r="P72" s="33"/>
      <c r="Q72" s="33"/>
      <c r="R72" s="33"/>
      <c r="S72" s="33"/>
      <c r="T72" s="33"/>
      <c r="U72" s="33"/>
      <c r="V72" s="33"/>
      <c r="W72" s="33"/>
      <c r="X72" s="33"/>
      <c r="Y72" s="33"/>
      <c r="Z72" s="33"/>
      <c r="AA72" s="33"/>
      <c r="AB72" s="34" t="s">
        <v>156</v>
      </c>
      <c r="AC72" s="35"/>
      <c r="AD72" s="35"/>
      <c r="AE72" s="35"/>
      <c r="AF72" s="36"/>
    </row>
    <row r="73" spans="1:32" s="27" customFormat="1" ht="13.5" hidden="1" thickTop="1" x14ac:dyDescent="0.3">
      <c r="A73" s="33"/>
      <c r="B73" s="113" t="s">
        <v>157</v>
      </c>
      <c r="C73" s="123">
        <v>2</v>
      </c>
      <c r="D73" s="123">
        <v>3</v>
      </c>
      <c r="E73" s="126"/>
      <c r="F73" s="43"/>
      <c r="G73" s="116"/>
      <c r="H73" s="116"/>
      <c r="I73" s="116"/>
      <c r="J73" s="116"/>
      <c r="K73" s="116"/>
      <c r="L73" s="116"/>
      <c r="M73" s="116"/>
      <c r="N73" s="37" t="s">
        <v>158</v>
      </c>
      <c r="O73" s="38"/>
      <c r="P73" s="39"/>
      <c r="Q73" s="37" t="s">
        <v>159</v>
      </c>
      <c r="R73" s="38"/>
      <c r="S73" s="39"/>
      <c r="T73" s="37" t="s">
        <v>160</v>
      </c>
      <c r="U73" s="38"/>
      <c r="V73" s="40"/>
      <c r="W73" s="37" t="s">
        <v>161</v>
      </c>
      <c r="X73" s="38"/>
      <c r="Y73" s="39"/>
      <c r="Z73" s="38" t="s">
        <v>162</v>
      </c>
      <c r="AA73" s="38"/>
      <c r="AB73" s="41">
        <v>0.82</v>
      </c>
      <c r="AC73" s="31"/>
      <c r="AD73" s="31"/>
      <c r="AE73" s="31"/>
      <c r="AF73" s="42"/>
    </row>
    <row r="74" spans="1:32" s="27" customFormat="1" ht="20.5" hidden="1" thickTop="1" x14ac:dyDescent="0.4">
      <c r="A74" s="33"/>
      <c r="B74" s="117" t="s">
        <v>163</v>
      </c>
      <c r="C74" s="126"/>
      <c r="D74" s="125"/>
      <c r="E74" s="273"/>
      <c r="F74" s="159"/>
      <c r="G74" s="119"/>
      <c r="H74" s="119"/>
      <c r="I74" s="119"/>
      <c r="J74" s="119"/>
      <c r="K74" s="119"/>
      <c r="L74" s="119"/>
      <c r="M74" s="119"/>
      <c r="N74" s="43" t="s">
        <v>164</v>
      </c>
      <c r="O74" s="44"/>
      <c r="P74" s="45" t="s">
        <v>165</v>
      </c>
      <c r="Q74" s="46" t="s">
        <v>164</v>
      </c>
      <c r="R74" s="47"/>
      <c r="S74" s="45" t="s">
        <v>165</v>
      </c>
      <c r="T74" s="46" t="s">
        <v>164</v>
      </c>
      <c r="U74" s="47"/>
      <c r="V74" s="45" t="s">
        <v>165</v>
      </c>
      <c r="W74" s="46" t="s">
        <v>164</v>
      </c>
      <c r="X74" s="47"/>
      <c r="Y74" s="45" t="s">
        <v>166</v>
      </c>
      <c r="Z74" s="46" t="s">
        <v>167</v>
      </c>
      <c r="AA74" s="47"/>
      <c r="AB74" s="45" t="s">
        <v>166</v>
      </c>
      <c r="AC74" s="31"/>
      <c r="AD74" s="31"/>
      <c r="AE74" s="31"/>
    </row>
    <row r="75" spans="1:32" s="27" customFormat="1" ht="13.5" hidden="1" thickBot="1" x14ac:dyDescent="0.35">
      <c r="A75" s="33"/>
      <c r="B75" s="120">
        <v>165</v>
      </c>
      <c r="C75" s="273"/>
      <c r="D75" s="273"/>
      <c r="E75" s="128"/>
      <c r="F75" s="58"/>
      <c r="G75" s="43"/>
      <c r="H75" s="43"/>
      <c r="I75" s="43"/>
      <c r="J75" s="43"/>
      <c r="K75" s="43"/>
      <c r="L75" s="43"/>
      <c r="M75" s="43"/>
      <c r="N75" s="48">
        <v>9.6999999999999993</v>
      </c>
      <c r="O75" s="49"/>
      <c r="P75" s="50">
        <f>N75*(1+$D$69)-0.4</f>
        <v>9.9789999999999992</v>
      </c>
      <c r="Q75" s="51">
        <v>10</v>
      </c>
      <c r="R75" s="52"/>
      <c r="S75" s="50">
        <f>Q75*(1+$D$69)-0.2</f>
        <v>10.500000000000002</v>
      </c>
      <c r="T75" s="51">
        <v>11</v>
      </c>
      <c r="U75" s="52"/>
      <c r="V75" s="50">
        <f>T75*(1+$D$69)-0.3</f>
        <v>11.47</v>
      </c>
      <c r="W75" s="53">
        <v>11.2</v>
      </c>
      <c r="X75" s="53"/>
      <c r="Y75" s="50">
        <f>W75*(1+$D$69)</f>
        <v>11.984</v>
      </c>
      <c r="Z75" s="54">
        <v>13.4</v>
      </c>
      <c r="AA75" s="55"/>
      <c r="AB75" s="56">
        <f>Z75*(1+$D$69)-0.3</f>
        <v>14.038</v>
      </c>
      <c r="AC75" s="57"/>
      <c r="AD75" s="57"/>
      <c r="AE75" s="57"/>
    </row>
    <row r="76" spans="1:32" s="27" customFormat="1" ht="21" hidden="1" customHeight="1" thickTop="1" x14ac:dyDescent="0.4">
      <c r="A76" s="122"/>
      <c r="B76" s="158" t="s">
        <v>168</v>
      </c>
      <c r="C76" s="128"/>
      <c r="D76" s="128"/>
      <c r="E76" s="274"/>
      <c r="F76" s="123"/>
      <c r="G76" s="159"/>
      <c r="H76" s="159"/>
      <c r="I76" s="159"/>
      <c r="J76" s="159"/>
      <c r="K76" s="159"/>
      <c r="L76" s="159"/>
      <c r="M76" s="159"/>
      <c r="N76" s="159"/>
      <c r="O76" s="159"/>
      <c r="P76" s="159"/>
      <c r="Q76" s="159"/>
      <c r="R76" s="159"/>
      <c r="S76" s="159"/>
      <c r="T76" s="159"/>
      <c r="U76" s="159"/>
      <c r="V76" s="159"/>
      <c r="W76" s="159"/>
      <c r="X76" s="159"/>
      <c r="Y76" s="159"/>
      <c r="Z76" s="159"/>
      <c r="AA76" s="159"/>
      <c r="AB76" s="159"/>
      <c r="AC76" s="31" t="s">
        <v>169</v>
      </c>
      <c r="AD76" s="31" t="s">
        <v>169</v>
      </c>
      <c r="AE76" s="31" t="s">
        <v>169</v>
      </c>
    </row>
    <row r="77" spans="1:32" s="27" customFormat="1" ht="12.75" hidden="1" customHeight="1" x14ac:dyDescent="0.3">
      <c r="A77" s="33"/>
      <c r="B77" s="160" t="s">
        <v>170</v>
      </c>
      <c r="C77" s="275"/>
      <c r="D77" s="276"/>
      <c r="E77" s="132"/>
      <c r="F77" s="126"/>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row>
    <row r="78" spans="1:32" s="27" customFormat="1" ht="13.5" hidden="1" thickBot="1" x14ac:dyDescent="0.35">
      <c r="A78" s="33"/>
      <c r="B78" s="59">
        <v>1</v>
      </c>
      <c r="C78" s="130" t="s">
        <v>171</v>
      </c>
      <c r="D78" s="131" t="s">
        <v>171</v>
      </c>
      <c r="E78" s="135"/>
      <c r="F78" s="273"/>
      <c r="G78" s="123"/>
      <c r="H78" s="123"/>
      <c r="I78" s="123"/>
      <c r="J78" s="123"/>
      <c r="K78" s="123"/>
      <c r="L78" s="123"/>
      <c r="M78" s="123"/>
      <c r="N78" s="59">
        <v>4</v>
      </c>
      <c r="O78" s="123">
        <v>5</v>
      </c>
      <c r="P78" s="123">
        <v>6</v>
      </c>
      <c r="Q78" s="59">
        <v>7</v>
      </c>
      <c r="R78" s="123">
        <v>8</v>
      </c>
      <c r="S78" s="123">
        <v>9</v>
      </c>
      <c r="T78" s="59">
        <v>10</v>
      </c>
      <c r="U78" s="123">
        <v>11</v>
      </c>
      <c r="V78" s="123">
        <v>12</v>
      </c>
      <c r="W78" s="59">
        <v>13</v>
      </c>
      <c r="X78" s="123">
        <v>14</v>
      </c>
      <c r="Y78" s="123">
        <v>15</v>
      </c>
      <c r="Z78" s="59">
        <v>16</v>
      </c>
      <c r="AA78" s="123">
        <v>17</v>
      </c>
      <c r="AB78" s="123">
        <v>18</v>
      </c>
      <c r="AC78" s="58" t="s">
        <v>169</v>
      </c>
      <c r="AD78" s="58" t="s">
        <v>169</v>
      </c>
      <c r="AE78" s="58" t="s">
        <v>169</v>
      </c>
      <c r="AF78" s="58"/>
    </row>
    <row r="79" spans="1:32" s="27" customFormat="1" ht="13.5" hidden="1" thickBot="1" x14ac:dyDescent="0.35">
      <c r="A79" s="33"/>
      <c r="B79" s="124" t="s">
        <v>172</v>
      </c>
      <c r="C79" s="134" t="s">
        <v>173</v>
      </c>
      <c r="D79" s="134" t="s">
        <v>174</v>
      </c>
      <c r="E79" s="139"/>
      <c r="F79" s="128"/>
      <c r="G79" s="126"/>
      <c r="H79" s="126"/>
      <c r="I79" s="126"/>
      <c r="J79" s="126"/>
      <c r="K79" s="126"/>
      <c r="L79" s="126"/>
      <c r="M79" s="126"/>
      <c r="N79" s="352"/>
      <c r="O79" s="353"/>
      <c r="P79" s="353"/>
      <c r="Q79" s="353"/>
      <c r="R79" s="353"/>
      <c r="S79" s="353"/>
      <c r="T79" s="353"/>
      <c r="U79" s="353"/>
      <c r="V79" s="353"/>
      <c r="W79" s="354"/>
      <c r="X79" s="277"/>
      <c r="Y79" s="60"/>
      <c r="Z79" s="61"/>
      <c r="AA79" s="278"/>
      <c r="AB79" s="279"/>
      <c r="AC79" s="31"/>
      <c r="AD79" s="31"/>
      <c r="AE79" s="31"/>
    </row>
    <row r="80" spans="1:32" s="27" customFormat="1" ht="13" hidden="1" x14ac:dyDescent="0.3">
      <c r="A80" s="33"/>
      <c r="B80" s="280" t="s">
        <v>175</v>
      </c>
      <c r="C80" s="137">
        <v>1.2</v>
      </c>
      <c r="D80" s="138">
        <v>2.9308323563892147</v>
      </c>
      <c r="E80" s="143"/>
      <c r="F80" s="274"/>
      <c r="G80" s="273"/>
      <c r="H80" s="273"/>
      <c r="I80" s="273"/>
      <c r="J80" s="273"/>
      <c r="K80" s="273"/>
      <c r="L80" s="273"/>
      <c r="M80" s="273"/>
      <c r="N80" s="355" t="s">
        <v>176</v>
      </c>
      <c r="O80" s="356"/>
      <c r="P80" s="357"/>
      <c r="Q80" s="358" t="s">
        <v>177</v>
      </c>
      <c r="R80" s="359"/>
      <c r="S80" s="360"/>
      <c r="T80" s="358" t="s">
        <v>178</v>
      </c>
      <c r="U80" s="359"/>
      <c r="V80" s="360"/>
      <c r="W80" s="358" t="s">
        <v>179</v>
      </c>
      <c r="X80" s="359"/>
      <c r="Y80" s="360"/>
      <c r="Z80" s="358" t="s">
        <v>180</v>
      </c>
      <c r="AA80" s="359"/>
      <c r="AB80" s="360"/>
      <c r="AF80" s="62"/>
    </row>
    <row r="81" spans="1:32" s="27" customFormat="1" ht="13" hidden="1" x14ac:dyDescent="0.3">
      <c r="A81" s="33"/>
      <c r="B81" s="127" t="s">
        <v>181</v>
      </c>
      <c r="C81" s="141">
        <v>1.143</v>
      </c>
      <c r="D81" s="142">
        <v>3.0773739742086752</v>
      </c>
      <c r="E81" s="143"/>
      <c r="F81" s="132"/>
      <c r="G81" s="128"/>
      <c r="H81" s="128"/>
      <c r="I81" s="128"/>
      <c r="J81" s="128"/>
      <c r="K81" s="128"/>
      <c r="L81" s="128"/>
      <c r="M81" s="128"/>
      <c r="N81" s="369" t="s">
        <v>182</v>
      </c>
      <c r="O81" s="370"/>
      <c r="P81" s="371"/>
      <c r="Q81" s="364" t="s">
        <v>183</v>
      </c>
      <c r="R81" s="365"/>
      <c r="S81" s="363"/>
      <c r="T81" s="366" t="s">
        <v>184</v>
      </c>
      <c r="U81" s="367"/>
      <c r="V81" s="368"/>
      <c r="W81" s="366" t="s">
        <v>185</v>
      </c>
      <c r="X81" s="367"/>
      <c r="Y81" s="363"/>
      <c r="Z81" s="361" t="s">
        <v>186</v>
      </c>
      <c r="AA81" s="362"/>
      <c r="AB81" s="363"/>
      <c r="AF81" s="62"/>
    </row>
    <row r="82" spans="1:32" s="27" customFormat="1" ht="13.5" hidden="1" thickBot="1" x14ac:dyDescent="0.35">
      <c r="A82" s="33"/>
      <c r="B82" s="281"/>
      <c r="C82" s="141">
        <v>1.091</v>
      </c>
      <c r="D82" s="142">
        <v>3.2239155920281362</v>
      </c>
      <c r="E82" s="143"/>
      <c r="F82" s="135"/>
      <c r="G82" s="274"/>
      <c r="H82" s="274"/>
      <c r="I82" s="274"/>
      <c r="J82" s="274"/>
      <c r="K82" s="274"/>
      <c r="L82" s="274"/>
      <c r="M82" s="274"/>
      <c r="N82" s="282"/>
      <c r="O82" s="283"/>
      <c r="P82" s="284"/>
      <c r="Q82" s="285"/>
      <c r="R82" s="283"/>
      <c r="S82" s="286"/>
      <c r="T82" s="287"/>
      <c r="U82" s="288"/>
      <c r="V82" s="289"/>
      <c r="W82" s="287"/>
      <c r="X82" s="288"/>
      <c r="Y82" s="286"/>
      <c r="Z82" s="290"/>
      <c r="AA82" s="291"/>
      <c r="AB82" s="286"/>
      <c r="AF82" s="31"/>
    </row>
    <row r="83" spans="1:32" s="27" customFormat="1" ht="13" hidden="1" x14ac:dyDescent="0.3">
      <c r="A83" s="33"/>
      <c r="B83" s="129" t="s">
        <v>171</v>
      </c>
      <c r="C83" s="141">
        <v>1.0429999999999999</v>
      </c>
      <c r="D83" s="142">
        <v>3.3704572098475967</v>
      </c>
      <c r="E83" s="143"/>
      <c r="F83" s="139"/>
      <c r="G83" s="132"/>
      <c r="H83" s="132"/>
      <c r="I83" s="132"/>
      <c r="J83" s="132"/>
      <c r="K83" s="132"/>
      <c r="L83" s="132"/>
      <c r="M83" s="132"/>
      <c r="N83" s="63" t="s">
        <v>187</v>
      </c>
      <c r="O83" s="64"/>
      <c r="P83" s="65" t="s">
        <v>188</v>
      </c>
      <c r="Q83" s="63" t="s">
        <v>189</v>
      </c>
      <c r="R83" s="64"/>
      <c r="S83" s="66" t="s">
        <v>188</v>
      </c>
      <c r="T83" s="67" t="s">
        <v>157</v>
      </c>
      <c r="U83" s="68"/>
      <c r="V83" s="69" t="s">
        <v>188</v>
      </c>
      <c r="W83" s="67" t="s">
        <v>157</v>
      </c>
      <c r="X83" s="68"/>
      <c r="Y83" s="66" t="s">
        <v>188</v>
      </c>
      <c r="Z83" s="70" t="s">
        <v>157</v>
      </c>
      <c r="AA83" s="71"/>
      <c r="AB83" s="66" t="s">
        <v>188</v>
      </c>
      <c r="AC83" s="42"/>
      <c r="AD83" s="42"/>
      <c r="AE83" s="42"/>
      <c r="AF83" s="62"/>
    </row>
    <row r="84" spans="1:32" s="27" customFormat="1" ht="13.5" hidden="1" thickBot="1" x14ac:dyDescent="0.35">
      <c r="A84" s="34"/>
      <c r="B84" s="133" t="s">
        <v>190</v>
      </c>
      <c r="C84" s="141">
        <v>1</v>
      </c>
      <c r="D84" s="142">
        <v>3.5169988276670576</v>
      </c>
      <c r="E84" s="143"/>
      <c r="F84" s="143"/>
      <c r="G84" s="135"/>
      <c r="H84" s="135"/>
      <c r="I84" s="135"/>
      <c r="J84" s="135"/>
      <c r="K84" s="135"/>
      <c r="L84" s="135"/>
      <c r="M84" s="135"/>
      <c r="N84" s="72" t="s">
        <v>191</v>
      </c>
      <c r="O84" s="73" t="s">
        <v>192</v>
      </c>
      <c r="P84" s="74" t="s">
        <v>193</v>
      </c>
      <c r="Q84" s="72" t="s">
        <v>191</v>
      </c>
      <c r="R84" s="73" t="s">
        <v>192</v>
      </c>
      <c r="S84" s="75" t="s">
        <v>193</v>
      </c>
      <c r="T84" s="76" t="s">
        <v>191</v>
      </c>
      <c r="U84" s="73" t="s">
        <v>192</v>
      </c>
      <c r="V84" s="77" t="s">
        <v>193</v>
      </c>
      <c r="W84" s="76" t="s">
        <v>191</v>
      </c>
      <c r="X84" s="73" t="s">
        <v>192</v>
      </c>
      <c r="Y84" s="75" t="s">
        <v>193</v>
      </c>
      <c r="Z84" s="78" t="s">
        <v>191</v>
      </c>
      <c r="AA84" s="73" t="s">
        <v>192</v>
      </c>
      <c r="AB84" s="75" t="s">
        <v>193</v>
      </c>
      <c r="AC84" s="42"/>
      <c r="AD84" s="42"/>
      <c r="AE84" s="42"/>
      <c r="AF84" s="62"/>
    </row>
    <row r="85" spans="1:32" s="27" customFormat="1" ht="13" hidden="1" x14ac:dyDescent="0.3">
      <c r="A85" s="34"/>
      <c r="B85" s="136">
        <v>10</v>
      </c>
      <c r="C85" s="141">
        <v>0.96</v>
      </c>
      <c r="D85" s="142">
        <v>3.6635404454865181</v>
      </c>
      <c r="E85" s="143"/>
      <c r="F85" s="143"/>
      <c r="G85" s="139"/>
      <c r="H85" s="139"/>
      <c r="I85" s="139"/>
      <c r="J85" s="139"/>
      <c r="K85" s="139"/>
      <c r="L85" s="139"/>
      <c r="M85" s="139"/>
      <c r="N85" s="79">
        <v>0.61875000000000002</v>
      </c>
      <c r="O85" s="80">
        <v>7.4250000000000007</v>
      </c>
      <c r="P85" s="81">
        <v>2.8E-3</v>
      </c>
      <c r="Q85" s="79"/>
      <c r="R85" s="80"/>
      <c r="S85" s="81"/>
      <c r="T85" s="79"/>
      <c r="U85" s="80"/>
      <c r="V85" s="81"/>
      <c r="W85" s="79"/>
      <c r="X85" s="80"/>
      <c r="Y85" s="81"/>
      <c r="Z85" s="79"/>
      <c r="AA85" s="80"/>
      <c r="AB85" s="81"/>
      <c r="AC85" s="42"/>
      <c r="AD85" s="42"/>
      <c r="AE85" s="42"/>
      <c r="AF85" s="62"/>
    </row>
    <row r="86" spans="1:32" s="27" customFormat="1" ht="13" hidden="1" x14ac:dyDescent="0.3">
      <c r="A86" s="34"/>
      <c r="B86" s="140">
        <v>10.5</v>
      </c>
      <c r="C86" s="141">
        <v>0.92300000000000004</v>
      </c>
      <c r="D86" s="142">
        <v>3.8100820633059791</v>
      </c>
      <c r="E86" s="143"/>
      <c r="F86" s="143"/>
      <c r="G86" s="143"/>
      <c r="H86" s="143"/>
      <c r="I86" s="143"/>
      <c r="J86" s="143"/>
      <c r="K86" s="143"/>
      <c r="L86" s="143"/>
      <c r="M86" s="143"/>
      <c r="N86" s="82">
        <v>1.31175</v>
      </c>
      <c r="O86" s="83">
        <v>15.741</v>
      </c>
      <c r="P86" s="84">
        <v>7.0000000000000001E-3</v>
      </c>
      <c r="Q86" s="82">
        <v>0.84149999999999991</v>
      </c>
      <c r="R86" s="83">
        <v>10.097999999999999</v>
      </c>
      <c r="S86" s="84">
        <v>4.1999999999999997E-3</v>
      </c>
      <c r="T86" s="82"/>
      <c r="U86" s="83"/>
      <c r="V86" s="84"/>
      <c r="W86" s="82"/>
      <c r="X86" s="83"/>
      <c r="Y86" s="84"/>
      <c r="Z86" s="82"/>
      <c r="AA86" s="83"/>
      <c r="AB86" s="84"/>
      <c r="AC86" s="42"/>
      <c r="AD86" s="42"/>
      <c r="AE86" s="42"/>
      <c r="AF86" s="62"/>
    </row>
    <row r="87" spans="1:32" s="27" customFormat="1" ht="13" hidden="1" x14ac:dyDescent="0.3">
      <c r="A87" s="34"/>
      <c r="B87" s="140">
        <v>11</v>
      </c>
      <c r="C87" s="141">
        <v>0.88900000000000001</v>
      </c>
      <c r="D87" s="142">
        <v>3.9566236811254396</v>
      </c>
      <c r="E87" s="143"/>
      <c r="F87" s="143"/>
      <c r="G87" s="143"/>
      <c r="H87" s="143"/>
      <c r="I87" s="143"/>
      <c r="J87" s="143"/>
      <c r="K87" s="143"/>
      <c r="L87" s="143"/>
      <c r="M87" s="143"/>
      <c r="N87" s="82">
        <v>1.5202222222222224</v>
      </c>
      <c r="O87" s="83">
        <v>18.242666666666668</v>
      </c>
      <c r="P87" s="84">
        <v>1.0800000000000001E-2</v>
      </c>
      <c r="Q87" s="82">
        <v>1.4850000000000001</v>
      </c>
      <c r="R87" s="83">
        <v>17.82</v>
      </c>
      <c r="S87" s="84">
        <v>8.0999999999999996E-3</v>
      </c>
      <c r="T87" s="82"/>
      <c r="U87" s="83"/>
      <c r="V87" s="84"/>
      <c r="W87" s="82"/>
      <c r="X87" s="83"/>
      <c r="Y87" s="84"/>
      <c r="Z87" s="82"/>
      <c r="AA87" s="83"/>
      <c r="AB87" s="84"/>
      <c r="AC87" s="42"/>
      <c r="AD87" s="42"/>
      <c r="AE87" s="42"/>
      <c r="AF87" s="62"/>
    </row>
    <row r="88" spans="1:32" s="27" customFormat="1" ht="13" hidden="1" x14ac:dyDescent="0.3">
      <c r="A88" s="34"/>
      <c r="B88" s="140">
        <v>11.5</v>
      </c>
      <c r="C88" s="141">
        <v>0.85699999999999998</v>
      </c>
      <c r="D88" s="142">
        <v>4.1031652989449006</v>
      </c>
      <c r="E88" s="143"/>
      <c r="F88" s="143"/>
      <c r="G88" s="143"/>
      <c r="H88" s="143"/>
      <c r="I88" s="143"/>
      <c r="J88" s="143"/>
      <c r="K88" s="143"/>
      <c r="L88" s="143"/>
      <c r="M88" s="143"/>
      <c r="N88" s="82">
        <v>1.641375</v>
      </c>
      <c r="O88" s="83">
        <v>19.6965</v>
      </c>
      <c r="P88" s="84">
        <v>1.44E-2</v>
      </c>
      <c r="Q88" s="82">
        <v>1.6027222222222222</v>
      </c>
      <c r="R88" s="83">
        <v>19.232666666666667</v>
      </c>
      <c r="S88" s="84">
        <v>1.1599999999999999E-2</v>
      </c>
      <c r="T88" s="82">
        <v>0.71775</v>
      </c>
      <c r="U88" s="83">
        <v>8.6129999999999995</v>
      </c>
      <c r="V88" s="84">
        <v>3.5999999999999999E-3</v>
      </c>
      <c r="W88" s="82"/>
      <c r="X88" s="83"/>
      <c r="Y88" s="84"/>
      <c r="Z88" s="82"/>
      <c r="AA88" s="83"/>
      <c r="AB88" s="84"/>
      <c r="AC88" s="42"/>
      <c r="AD88" s="42"/>
      <c r="AE88" s="42"/>
      <c r="AF88" s="62"/>
    </row>
    <row r="89" spans="1:32" s="27" customFormat="1" ht="13" hidden="1" x14ac:dyDescent="0.3">
      <c r="A89" s="34"/>
      <c r="B89" s="140">
        <v>12</v>
      </c>
      <c r="C89" s="141">
        <v>0.82799999999999996</v>
      </c>
      <c r="D89" s="142">
        <v>4.2497069167643611</v>
      </c>
      <c r="E89" s="143"/>
      <c r="F89" s="143"/>
      <c r="G89" s="143"/>
      <c r="H89" s="143"/>
      <c r="I89" s="143"/>
      <c r="J89" s="143"/>
      <c r="K89" s="143"/>
      <c r="L89" s="143"/>
      <c r="M89" s="143"/>
      <c r="N89" s="82">
        <v>1.8170833333333334</v>
      </c>
      <c r="O89" s="83">
        <v>21.805</v>
      </c>
      <c r="P89" s="84">
        <v>1.7600000000000001E-2</v>
      </c>
      <c r="Q89" s="82">
        <v>1.76</v>
      </c>
      <c r="R89" s="83">
        <v>21.12</v>
      </c>
      <c r="S89" s="84">
        <v>1.4800000000000001E-2</v>
      </c>
      <c r="T89" s="82">
        <v>1.2292500000000002</v>
      </c>
      <c r="U89" s="83">
        <v>14.751000000000001</v>
      </c>
      <c r="V89" s="84">
        <v>6.7000000000000002E-3</v>
      </c>
      <c r="W89" s="82">
        <v>0.69299999999999995</v>
      </c>
      <c r="X89" s="83">
        <v>8.3159999999999989</v>
      </c>
      <c r="Y89" s="84">
        <v>5.3E-3</v>
      </c>
      <c r="Z89" s="82"/>
      <c r="AA89" s="83"/>
      <c r="AB89" s="84"/>
      <c r="AC89" s="42"/>
      <c r="AD89" s="42"/>
      <c r="AE89" s="42"/>
      <c r="AF89" s="62"/>
    </row>
    <row r="90" spans="1:32" s="27" customFormat="1" ht="13" hidden="1" x14ac:dyDescent="0.3">
      <c r="A90" s="34"/>
      <c r="B90" s="140">
        <v>12.5</v>
      </c>
      <c r="C90" s="141">
        <v>0.8</v>
      </c>
      <c r="D90" s="144">
        <v>4.3962485345838216</v>
      </c>
      <c r="E90" s="143"/>
      <c r="F90" s="143"/>
      <c r="G90" s="143"/>
      <c r="H90" s="143"/>
      <c r="I90" s="143"/>
      <c r="J90" s="143"/>
      <c r="K90" s="143"/>
      <c r="L90" s="143"/>
      <c r="M90" s="143"/>
      <c r="N90" s="82">
        <v>2.0175416666666668</v>
      </c>
      <c r="O90" s="83">
        <v>24.2105</v>
      </c>
      <c r="P90" s="84">
        <v>2.0500000000000001E-2</v>
      </c>
      <c r="Q90" s="82">
        <v>1.8162499999999999</v>
      </c>
      <c r="R90" s="83">
        <v>21.794999999999998</v>
      </c>
      <c r="S90" s="84">
        <v>1.78E-2</v>
      </c>
      <c r="T90" s="82">
        <v>1.3817083333333333</v>
      </c>
      <c r="U90" s="83">
        <v>16.580500000000001</v>
      </c>
      <c r="V90" s="84">
        <v>9.7000000000000003E-3</v>
      </c>
      <c r="W90" s="82">
        <v>0.87120000000000009</v>
      </c>
      <c r="X90" s="83">
        <v>10.454400000000001</v>
      </c>
      <c r="Y90" s="84">
        <v>8.3000000000000001E-3</v>
      </c>
      <c r="Z90" s="82"/>
      <c r="AA90" s="83"/>
      <c r="AB90" s="84"/>
      <c r="AC90" s="42"/>
      <c r="AD90" s="42"/>
      <c r="AE90" s="42"/>
      <c r="AF90" s="62"/>
    </row>
    <row r="91" spans="1:32" s="27" customFormat="1" ht="13" hidden="1" x14ac:dyDescent="0.3">
      <c r="A91" s="34"/>
      <c r="B91" s="140">
        <v>13</v>
      </c>
      <c r="C91" s="141">
        <v>0.77400000000000002</v>
      </c>
      <c r="D91" s="144">
        <v>4.542790152403283</v>
      </c>
      <c r="E91" s="143"/>
      <c r="F91" s="143"/>
      <c r="G91" s="143"/>
      <c r="H91" s="143"/>
      <c r="I91" s="143"/>
      <c r="J91" s="143"/>
      <c r="K91" s="143"/>
      <c r="L91" s="143"/>
      <c r="M91" s="143"/>
      <c r="N91" s="82">
        <v>2.1879</v>
      </c>
      <c r="O91" s="83">
        <v>26.254799999999999</v>
      </c>
      <c r="P91" s="84">
        <v>2.3300000000000001E-2</v>
      </c>
      <c r="Q91" s="82">
        <v>1.8777000000000001</v>
      </c>
      <c r="R91" s="83">
        <v>22.532400000000003</v>
      </c>
      <c r="S91" s="84">
        <v>2.0500000000000001E-2</v>
      </c>
      <c r="T91" s="82">
        <v>1.4784333333333333</v>
      </c>
      <c r="U91" s="83">
        <v>17.741199999999999</v>
      </c>
      <c r="V91" s="84">
        <v>1.24E-2</v>
      </c>
      <c r="W91" s="82">
        <v>1.3167000000000002</v>
      </c>
      <c r="X91" s="83">
        <v>15.800400000000002</v>
      </c>
      <c r="Y91" s="84">
        <v>1.0999999999999999E-2</v>
      </c>
      <c r="Z91" s="82"/>
      <c r="AA91" s="83"/>
      <c r="AB91" s="84"/>
      <c r="AC91" s="42"/>
      <c r="AD91" s="42"/>
      <c r="AE91" s="42"/>
      <c r="AF91" s="62"/>
    </row>
    <row r="92" spans="1:32" s="27" customFormat="1" ht="13" hidden="1" x14ac:dyDescent="0.3">
      <c r="A92" s="34"/>
      <c r="B92" s="140">
        <v>13.5</v>
      </c>
      <c r="C92" s="141">
        <v>0.75</v>
      </c>
      <c r="D92" s="144">
        <v>7</v>
      </c>
      <c r="E92" s="143"/>
      <c r="F92" s="143"/>
      <c r="G92" s="143"/>
      <c r="H92" s="143"/>
      <c r="I92" s="143"/>
      <c r="J92" s="143"/>
      <c r="K92" s="143"/>
      <c r="L92" s="143"/>
      <c r="M92" s="143"/>
      <c r="N92" s="82">
        <v>2.6004</v>
      </c>
      <c r="O92" s="83">
        <v>31.204799999999999</v>
      </c>
      <c r="P92" s="84">
        <v>2.58E-2</v>
      </c>
      <c r="Q92" s="82">
        <v>2.2967999999999997</v>
      </c>
      <c r="R92" s="83">
        <v>27.561599999999999</v>
      </c>
      <c r="S92" s="84">
        <v>2.3E-2</v>
      </c>
      <c r="T92" s="82">
        <v>1.6962000000000002</v>
      </c>
      <c r="U92" s="83">
        <v>20.354400000000002</v>
      </c>
      <c r="V92" s="84">
        <v>1.4999999999999999E-2</v>
      </c>
      <c r="W92" s="82">
        <v>1.7358000000000002</v>
      </c>
      <c r="X92" s="83">
        <v>20.829600000000003</v>
      </c>
      <c r="Y92" s="84">
        <v>1.35E-2</v>
      </c>
      <c r="Z92" s="82">
        <v>1.254</v>
      </c>
      <c r="AA92" s="83">
        <v>15.048</v>
      </c>
      <c r="AB92" s="84">
        <v>5.9999999999999995E-4</v>
      </c>
      <c r="AC92" s="42"/>
      <c r="AD92" s="42"/>
      <c r="AE92" s="42"/>
      <c r="AF92" s="62"/>
    </row>
    <row r="93" spans="1:32" s="27" customFormat="1" ht="13" hidden="1" x14ac:dyDescent="0.3">
      <c r="A93" s="34"/>
      <c r="B93" s="140">
        <v>14</v>
      </c>
      <c r="C93" s="141">
        <v>0.72699999999999998</v>
      </c>
      <c r="D93" s="144">
        <v>4.835873388042204</v>
      </c>
      <c r="E93" s="143"/>
      <c r="F93" s="143"/>
      <c r="G93" s="143"/>
      <c r="H93" s="143"/>
      <c r="I93" s="143"/>
      <c r="J93" s="143"/>
      <c r="K93" s="143"/>
      <c r="L93" s="143"/>
      <c r="M93" s="143"/>
      <c r="N93" s="82">
        <v>2.9964</v>
      </c>
      <c r="O93" s="83">
        <v>35.956800000000001</v>
      </c>
      <c r="P93" s="84">
        <v>2.8199999999999999E-2</v>
      </c>
      <c r="Q93" s="82">
        <v>2.6861999999999999</v>
      </c>
      <c r="R93" s="83">
        <v>32.234400000000001</v>
      </c>
      <c r="S93" s="84">
        <v>2.5399999999999999E-2</v>
      </c>
      <c r="T93" s="82">
        <v>2.0823000000000005</v>
      </c>
      <c r="U93" s="83">
        <v>24.987600000000004</v>
      </c>
      <c r="V93" s="84">
        <v>1.7299999999999999E-2</v>
      </c>
      <c r="W93" s="82">
        <v>2.1252</v>
      </c>
      <c r="X93" s="83">
        <v>25.502399999999998</v>
      </c>
      <c r="Y93" s="84">
        <v>1.5900000000000001E-2</v>
      </c>
      <c r="Z93" s="82">
        <v>1.6500000000000001</v>
      </c>
      <c r="AA93" s="83">
        <v>19.8</v>
      </c>
      <c r="AB93" s="84">
        <v>3.5000000000000001E-3</v>
      </c>
      <c r="AC93" s="42"/>
      <c r="AD93" s="42"/>
      <c r="AE93" s="42"/>
      <c r="AF93" s="62"/>
    </row>
    <row r="94" spans="1:32" s="27" customFormat="1" ht="13" hidden="1" x14ac:dyDescent="0.3">
      <c r="A94" s="34"/>
      <c r="B94" s="140">
        <v>14.5</v>
      </c>
      <c r="C94" s="141">
        <v>0.70599999999999996</v>
      </c>
      <c r="D94" s="144">
        <v>4.9824150058616645</v>
      </c>
      <c r="E94" s="143"/>
      <c r="F94" s="143"/>
      <c r="G94" s="143"/>
      <c r="H94" s="143"/>
      <c r="I94" s="143"/>
      <c r="J94" s="143"/>
      <c r="K94" s="143"/>
      <c r="L94" s="143"/>
      <c r="M94" s="143"/>
      <c r="N94" s="82">
        <v>3.3429000000000002</v>
      </c>
      <c r="O94" s="83">
        <v>40.114800000000002</v>
      </c>
      <c r="P94" s="84">
        <v>3.0300000000000001E-2</v>
      </c>
      <c r="Q94" s="82">
        <v>3.0458999999999996</v>
      </c>
      <c r="R94" s="83">
        <v>36.550799999999995</v>
      </c>
      <c r="S94" s="84">
        <v>2.76E-2</v>
      </c>
      <c r="T94" s="82">
        <v>2.4387000000000003</v>
      </c>
      <c r="U94" s="83">
        <v>29.264400000000002</v>
      </c>
      <c r="V94" s="84">
        <v>1.95E-2</v>
      </c>
      <c r="W94" s="82">
        <v>2.4782999999999995</v>
      </c>
      <c r="X94" s="83">
        <v>29.739599999999996</v>
      </c>
      <c r="Y94" s="84">
        <v>1.7999999999999999E-2</v>
      </c>
      <c r="Z94" s="82">
        <v>1.9964999999999999</v>
      </c>
      <c r="AA94" s="83">
        <v>23.957999999999998</v>
      </c>
      <c r="AB94" s="84">
        <v>6.1000000000000004E-3</v>
      </c>
      <c r="AC94" s="42"/>
      <c r="AD94" s="42"/>
      <c r="AE94" s="42"/>
      <c r="AF94" s="62"/>
    </row>
    <row r="95" spans="1:32" s="27" customFormat="1" ht="13" hidden="1" x14ac:dyDescent="0.3">
      <c r="A95" s="34"/>
      <c r="B95" s="140">
        <v>15</v>
      </c>
      <c r="C95" s="141">
        <v>0.68600000000000005</v>
      </c>
      <c r="D95" s="144">
        <v>5.1289566236811259</v>
      </c>
      <c r="E95" s="143"/>
      <c r="F95" s="143"/>
      <c r="G95" s="143"/>
      <c r="H95" s="143"/>
      <c r="I95" s="143"/>
      <c r="J95" s="143"/>
      <c r="K95" s="143"/>
      <c r="L95" s="143"/>
      <c r="M95" s="143"/>
      <c r="N95" s="82">
        <v>3.6893999999999996</v>
      </c>
      <c r="O95" s="83">
        <v>44.272799999999997</v>
      </c>
      <c r="P95" s="84">
        <v>3.2399999999999998E-2</v>
      </c>
      <c r="Q95" s="82">
        <v>3.3824999999999998</v>
      </c>
      <c r="R95" s="83">
        <v>40.589999999999996</v>
      </c>
      <c r="S95" s="84">
        <v>2.9600000000000001E-2</v>
      </c>
      <c r="T95" s="82">
        <v>2.7852000000000001</v>
      </c>
      <c r="U95" s="83">
        <v>33.422400000000003</v>
      </c>
      <c r="V95" s="84">
        <v>2.1600000000000001E-2</v>
      </c>
      <c r="W95" s="82">
        <v>2.8214999999999999</v>
      </c>
      <c r="X95" s="83">
        <v>33.857999999999997</v>
      </c>
      <c r="Y95" s="84">
        <v>2.01E-2</v>
      </c>
      <c r="Z95" s="85">
        <v>2.343</v>
      </c>
      <c r="AA95" s="83">
        <v>28.116</v>
      </c>
      <c r="AB95" s="84">
        <v>8.6E-3</v>
      </c>
      <c r="AC95" s="42"/>
      <c r="AD95" s="42"/>
      <c r="AE95" s="42"/>
      <c r="AF95" s="62"/>
    </row>
    <row r="96" spans="1:32" s="27" customFormat="1" ht="13" hidden="1" x14ac:dyDescent="0.3">
      <c r="A96" s="34"/>
      <c r="B96" s="140">
        <v>15.5</v>
      </c>
      <c r="C96" s="141">
        <v>0.66700000000000004</v>
      </c>
      <c r="D96" s="144">
        <v>5.2754982415005864</v>
      </c>
      <c r="E96" s="143"/>
      <c r="F96" s="143"/>
      <c r="G96" s="143"/>
      <c r="H96" s="143"/>
      <c r="I96" s="143"/>
      <c r="J96" s="143"/>
      <c r="K96" s="143"/>
      <c r="L96" s="143"/>
      <c r="M96" s="143"/>
      <c r="N96" s="85">
        <v>4.0029000000000003</v>
      </c>
      <c r="O96" s="86">
        <v>48.034800000000004</v>
      </c>
      <c r="P96" s="87">
        <v>3.4299999999999997E-2</v>
      </c>
      <c r="Q96" s="85">
        <v>3.7059000000000002</v>
      </c>
      <c r="R96" s="86">
        <v>44.470800000000004</v>
      </c>
      <c r="S96" s="87">
        <v>3.1600000000000003E-2</v>
      </c>
      <c r="T96" s="85">
        <v>3.0987000000000005</v>
      </c>
      <c r="U96" s="86">
        <v>37.184400000000004</v>
      </c>
      <c r="V96" s="87">
        <v>2.35E-2</v>
      </c>
      <c r="W96" s="85">
        <v>3.1382999999999996</v>
      </c>
      <c r="X96" s="86">
        <v>37.659599999999998</v>
      </c>
      <c r="Y96" s="87">
        <v>2.1999999999999999E-2</v>
      </c>
      <c r="Z96" s="85">
        <v>2.6564999999999999</v>
      </c>
      <c r="AA96" s="86">
        <v>31.878</v>
      </c>
      <c r="AB96" s="87">
        <v>1.0999999999999999E-2</v>
      </c>
      <c r="AC96" s="42"/>
      <c r="AD96" s="42"/>
      <c r="AE96" s="42"/>
      <c r="AF96" s="62"/>
    </row>
    <row r="97" spans="1:32" s="27" customFormat="1" ht="13" hidden="1" x14ac:dyDescent="0.3">
      <c r="A97" s="34"/>
      <c r="B97" s="140">
        <v>16</v>
      </c>
      <c r="C97" s="141">
        <v>0.64900000000000002</v>
      </c>
      <c r="D97" s="144">
        <v>5.422039859320047</v>
      </c>
      <c r="E97" s="143"/>
      <c r="F97" s="143"/>
      <c r="G97" s="143"/>
      <c r="H97" s="143"/>
      <c r="I97" s="143"/>
      <c r="J97" s="143"/>
      <c r="K97" s="143"/>
      <c r="L97" s="143"/>
      <c r="M97" s="143"/>
      <c r="N97" s="85">
        <v>4.2999000000000001</v>
      </c>
      <c r="O97" s="86">
        <v>51.598800000000004</v>
      </c>
      <c r="P97" s="87">
        <v>3.61E-2</v>
      </c>
      <c r="Q97" s="85">
        <v>3.992999999999999</v>
      </c>
      <c r="R97" s="86">
        <v>47.91599999999999</v>
      </c>
      <c r="S97" s="87">
        <v>3.3300000000000003E-2</v>
      </c>
      <c r="T97" s="85">
        <v>3.3956999999999997</v>
      </c>
      <c r="U97" s="86">
        <v>40.748399999999997</v>
      </c>
      <c r="V97" s="87">
        <v>2.53E-2</v>
      </c>
      <c r="W97" s="85">
        <v>3.4320000000000004</v>
      </c>
      <c r="X97" s="86">
        <v>41.184000000000005</v>
      </c>
      <c r="Y97" s="87">
        <v>2.3800000000000002E-2</v>
      </c>
      <c r="Z97" s="85">
        <v>2.9535</v>
      </c>
      <c r="AA97" s="86">
        <v>35.442</v>
      </c>
      <c r="AB97" s="87">
        <v>1.32E-2</v>
      </c>
      <c r="AC97" s="42"/>
      <c r="AD97" s="42"/>
      <c r="AE97" s="42"/>
      <c r="AF97" s="62"/>
    </row>
    <row r="98" spans="1:32" s="27" customFormat="1" ht="13" hidden="1" x14ac:dyDescent="0.3">
      <c r="A98" s="34"/>
      <c r="B98" s="140">
        <v>16.5</v>
      </c>
      <c r="C98" s="141">
        <v>0.63200000000000001</v>
      </c>
      <c r="D98" s="144">
        <v>5.5685814771395075</v>
      </c>
      <c r="E98" s="143"/>
      <c r="F98" s="143"/>
      <c r="G98" s="143"/>
      <c r="H98" s="143"/>
      <c r="I98" s="143"/>
      <c r="J98" s="143"/>
      <c r="K98" s="143"/>
      <c r="L98" s="143"/>
      <c r="M98" s="143"/>
      <c r="N98" s="85">
        <v>4.5804</v>
      </c>
      <c r="O98" s="86">
        <v>54.964800000000004</v>
      </c>
      <c r="P98" s="87">
        <v>3.78E-2</v>
      </c>
      <c r="Q98" s="85">
        <v>4.2768000000000006</v>
      </c>
      <c r="R98" s="86">
        <v>51.321600000000004</v>
      </c>
      <c r="S98" s="87">
        <v>3.5000000000000003E-2</v>
      </c>
      <c r="T98" s="85">
        <v>3.6762000000000001</v>
      </c>
      <c r="U98" s="86">
        <v>44.114400000000003</v>
      </c>
      <c r="V98" s="87">
        <v>2.7E-2</v>
      </c>
      <c r="W98" s="85">
        <v>3.7157999999999998</v>
      </c>
      <c r="X98" s="86">
        <v>44.589599999999997</v>
      </c>
      <c r="Y98" s="87">
        <v>2.5499999999999998E-2</v>
      </c>
      <c r="Z98" s="85">
        <v>3.234</v>
      </c>
      <c r="AA98" s="86">
        <v>38.808</v>
      </c>
      <c r="AB98" s="87">
        <v>1.52E-2</v>
      </c>
      <c r="AC98" s="42"/>
      <c r="AD98" s="42"/>
      <c r="AE98" s="42"/>
      <c r="AF98" s="62"/>
    </row>
    <row r="99" spans="1:32" s="27" customFormat="1" ht="13" hidden="1" x14ac:dyDescent="0.3">
      <c r="A99" s="34"/>
      <c r="B99" s="140">
        <v>17</v>
      </c>
      <c r="C99" s="141">
        <v>0.61499999999999999</v>
      </c>
      <c r="D99" s="144">
        <v>5.7151230949589689</v>
      </c>
      <c r="E99" s="143"/>
      <c r="F99" s="143"/>
      <c r="G99" s="143"/>
      <c r="H99" s="143"/>
      <c r="I99" s="143"/>
      <c r="J99" s="143"/>
      <c r="K99" s="143"/>
      <c r="L99" s="143"/>
      <c r="M99" s="143"/>
      <c r="N99" s="85">
        <v>4.8443999999999994</v>
      </c>
      <c r="O99" s="86">
        <v>58.132799999999996</v>
      </c>
      <c r="P99" s="87">
        <v>3.9399999999999998E-2</v>
      </c>
      <c r="Q99" s="85">
        <v>4.5342000000000002</v>
      </c>
      <c r="R99" s="86">
        <v>54.410400000000003</v>
      </c>
      <c r="S99" s="87">
        <v>3.6600000000000001E-2</v>
      </c>
      <c r="T99" s="85">
        <v>3.9303000000000003</v>
      </c>
      <c r="U99" s="86">
        <v>47.163600000000002</v>
      </c>
      <c r="V99" s="87">
        <v>2.8500000000000001E-2</v>
      </c>
      <c r="W99" s="85">
        <v>3.9732000000000003</v>
      </c>
      <c r="X99" s="86">
        <v>47.678400000000003</v>
      </c>
      <c r="Y99" s="87">
        <v>2.7099999999999999E-2</v>
      </c>
      <c r="Z99" s="85">
        <v>3.4979999999999998</v>
      </c>
      <c r="AA99" s="86">
        <v>41.975999999999999</v>
      </c>
      <c r="AB99" s="87">
        <v>1.7100000000000001E-2</v>
      </c>
      <c r="AC99" s="42"/>
      <c r="AD99" s="42"/>
      <c r="AE99" s="42"/>
      <c r="AF99" s="62"/>
    </row>
    <row r="100" spans="1:32" s="27" customFormat="1" ht="13" hidden="1" x14ac:dyDescent="0.3">
      <c r="A100" s="34"/>
      <c r="B100" s="140">
        <v>17.5</v>
      </c>
      <c r="C100" s="141">
        <v>0.6</v>
      </c>
      <c r="D100" s="144">
        <v>5.8616647127784294</v>
      </c>
      <c r="E100" s="143"/>
      <c r="F100" s="143"/>
      <c r="G100" s="143"/>
      <c r="H100" s="143"/>
      <c r="I100" s="143"/>
      <c r="J100" s="143"/>
      <c r="K100" s="143"/>
      <c r="L100" s="143"/>
      <c r="M100" s="143"/>
      <c r="N100" s="85">
        <v>5.0886000000000005</v>
      </c>
      <c r="O100" s="86">
        <v>61.063200000000009</v>
      </c>
      <c r="P100" s="87">
        <v>4.0800000000000003E-2</v>
      </c>
      <c r="Q100" s="85">
        <v>4.7816999999999998</v>
      </c>
      <c r="R100" s="86">
        <v>57.380399999999995</v>
      </c>
      <c r="S100" s="87">
        <v>3.8100000000000002E-2</v>
      </c>
      <c r="T100" s="85">
        <v>4.1778000000000004</v>
      </c>
      <c r="U100" s="86">
        <v>50.133600000000001</v>
      </c>
      <c r="V100" s="87">
        <v>0.03</v>
      </c>
      <c r="W100" s="85">
        <v>4.2206999999999999</v>
      </c>
      <c r="X100" s="86">
        <v>50.648400000000002</v>
      </c>
      <c r="Y100" s="87">
        <v>2.86E-2</v>
      </c>
      <c r="Z100" s="85">
        <v>3.7455000000000003</v>
      </c>
      <c r="AA100" s="86">
        <v>44.946000000000005</v>
      </c>
      <c r="AB100" s="87">
        <v>1.89E-2</v>
      </c>
      <c r="AC100" s="42"/>
      <c r="AD100" s="42"/>
      <c r="AE100" s="42"/>
      <c r="AF100" s="62"/>
    </row>
    <row r="101" spans="1:32" s="27" customFormat="1" ht="13" hidden="1" x14ac:dyDescent="0.3">
      <c r="A101" s="34"/>
      <c r="B101" s="140">
        <v>18</v>
      </c>
      <c r="C101" s="141"/>
      <c r="D101" s="144"/>
      <c r="E101" s="143"/>
      <c r="F101" s="143"/>
      <c r="G101" s="143"/>
      <c r="H101" s="143"/>
      <c r="I101" s="143"/>
      <c r="J101" s="143"/>
      <c r="K101" s="143"/>
      <c r="L101" s="143"/>
      <c r="M101" s="143"/>
      <c r="N101" s="85">
        <v>5.3196000000000003</v>
      </c>
      <c r="O101" s="86">
        <v>63.8352</v>
      </c>
      <c r="P101" s="87">
        <v>4.2200000000000001E-2</v>
      </c>
      <c r="Q101" s="85">
        <v>5.0126999999999997</v>
      </c>
      <c r="R101" s="86">
        <v>60.1524</v>
      </c>
      <c r="S101" s="87">
        <v>3.95E-2</v>
      </c>
      <c r="T101" s="85">
        <v>4.4088000000000003</v>
      </c>
      <c r="U101" s="86">
        <v>52.905600000000007</v>
      </c>
      <c r="V101" s="87">
        <v>3.1399999999999997E-2</v>
      </c>
      <c r="W101" s="85">
        <v>4.4517000000000007</v>
      </c>
      <c r="X101" s="86">
        <v>53.420400000000008</v>
      </c>
      <c r="Y101" s="87">
        <v>0.03</v>
      </c>
      <c r="Z101" s="85">
        <v>3.9765000000000001</v>
      </c>
      <c r="AA101" s="86">
        <v>47.718000000000004</v>
      </c>
      <c r="AB101" s="87">
        <v>2.07E-2</v>
      </c>
      <c r="AC101" s="42"/>
      <c r="AD101" s="42"/>
      <c r="AE101" s="42"/>
      <c r="AF101" s="62"/>
    </row>
    <row r="102" spans="1:32" s="27" customFormat="1" ht="13" hidden="1" x14ac:dyDescent="0.3">
      <c r="A102" s="34"/>
      <c r="B102" s="140">
        <v>18.5</v>
      </c>
      <c r="C102" s="141"/>
      <c r="D102" s="144"/>
      <c r="E102" s="147"/>
      <c r="F102" s="143"/>
      <c r="G102" s="143"/>
      <c r="H102" s="143"/>
      <c r="I102" s="143"/>
      <c r="J102" s="143"/>
      <c r="K102" s="143"/>
      <c r="L102" s="143"/>
      <c r="M102" s="143"/>
      <c r="N102" s="85">
        <v>5.5374000000000008</v>
      </c>
      <c r="O102" s="86">
        <v>66.448800000000006</v>
      </c>
      <c r="P102" s="87">
        <v>4.36E-2</v>
      </c>
      <c r="Q102" s="85">
        <v>5.2271999999999998</v>
      </c>
      <c r="R102" s="86">
        <v>62.726399999999998</v>
      </c>
      <c r="S102" s="87">
        <v>4.0800000000000003E-2</v>
      </c>
      <c r="T102" s="85">
        <v>4.6233000000000004</v>
      </c>
      <c r="U102" s="86">
        <v>55.479600000000005</v>
      </c>
      <c r="V102" s="87">
        <v>3.27E-2</v>
      </c>
      <c r="W102" s="85">
        <v>4.6661999999999999</v>
      </c>
      <c r="X102" s="86">
        <v>55.994399999999999</v>
      </c>
      <c r="Y102" s="87">
        <v>3.1300000000000001E-2</v>
      </c>
      <c r="Z102" s="85">
        <v>4.1909999999999998</v>
      </c>
      <c r="AA102" s="86">
        <v>50.292000000000002</v>
      </c>
      <c r="AB102" s="87">
        <v>2.23E-2</v>
      </c>
      <c r="AC102" s="42"/>
      <c r="AD102" s="42"/>
      <c r="AE102" s="42"/>
      <c r="AF102" s="62"/>
    </row>
    <row r="103" spans="1:32" s="27" customFormat="1" ht="13.5" hidden="1" thickBot="1" x14ac:dyDescent="0.35">
      <c r="A103" s="34"/>
      <c r="B103" s="140">
        <v>19</v>
      </c>
      <c r="C103" s="146"/>
      <c r="D103" s="146"/>
      <c r="E103" s="151"/>
      <c r="F103" s="143"/>
      <c r="G103" s="143"/>
      <c r="H103" s="143"/>
      <c r="I103" s="143"/>
      <c r="J103" s="143"/>
      <c r="K103" s="143"/>
      <c r="L103" s="143"/>
      <c r="M103" s="143"/>
      <c r="N103" s="85">
        <v>5.7486000000000006</v>
      </c>
      <c r="O103" s="86">
        <v>68.983200000000011</v>
      </c>
      <c r="P103" s="87">
        <v>4.48E-2</v>
      </c>
      <c r="Q103" s="85">
        <v>5.4417</v>
      </c>
      <c r="R103" s="86">
        <v>65.300399999999996</v>
      </c>
      <c r="S103" s="87">
        <v>4.2099999999999999E-2</v>
      </c>
      <c r="T103" s="85">
        <v>4.8378000000000005</v>
      </c>
      <c r="U103" s="86">
        <v>58.053600000000003</v>
      </c>
      <c r="V103" s="87">
        <v>3.4000000000000002E-2</v>
      </c>
      <c r="W103" s="85">
        <v>4.8807</v>
      </c>
      <c r="X103" s="86">
        <v>58.568399999999997</v>
      </c>
      <c r="Y103" s="87">
        <v>3.2599999999999997E-2</v>
      </c>
      <c r="Z103" s="85">
        <v>4.4055</v>
      </c>
      <c r="AA103" s="86">
        <v>52.866</v>
      </c>
      <c r="AB103" s="87">
        <v>2.3800000000000002E-2</v>
      </c>
      <c r="AC103" s="42"/>
      <c r="AD103" s="42"/>
      <c r="AE103" s="42"/>
      <c r="AF103" s="62"/>
    </row>
    <row r="104" spans="1:32" s="27" customFormat="1" ht="13.5" hidden="1" thickBot="1" x14ac:dyDescent="0.35">
      <c r="A104" s="145"/>
      <c r="B104" s="140">
        <v>19.5</v>
      </c>
      <c r="C104" s="149"/>
      <c r="D104" s="150"/>
      <c r="E104" s="44"/>
      <c r="F104" s="143"/>
      <c r="G104" s="143"/>
      <c r="H104" s="143"/>
      <c r="I104" s="143"/>
      <c r="J104" s="143"/>
      <c r="K104" s="143"/>
      <c r="L104" s="143"/>
      <c r="M104" s="143"/>
      <c r="N104" s="85">
        <v>5.9498999999999995</v>
      </c>
      <c r="O104" s="86">
        <v>71.398799999999994</v>
      </c>
      <c r="P104" s="87">
        <v>4.6100000000000002E-2</v>
      </c>
      <c r="Q104" s="85">
        <v>5.6430000000000007</v>
      </c>
      <c r="R104" s="86">
        <v>67.716000000000008</v>
      </c>
      <c r="S104" s="87">
        <v>4.3299999999999998E-2</v>
      </c>
      <c r="T104" s="85">
        <v>5.0456999999999992</v>
      </c>
      <c r="U104" s="86">
        <v>60.548399999999994</v>
      </c>
      <c r="V104" s="87">
        <v>3.5299999999999998E-2</v>
      </c>
      <c r="W104" s="85">
        <v>5.0819999999999999</v>
      </c>
      <c r="X104" s="86">
        <v>60.984000000000002</v>
      </c>
      <c r="Y104" s="87">
        <v>3.3799999999999997E-2</v>
      </c>
      <c r="Z104" s="85">
        <v>4.6035000000000004</v>
      </c>
      <c r="AA104" s="86">
        <v>55.242000000000004</v>
      </c>
      <c r="AB104" s="87">
        <v>2.53E-2</v>
      </c>
      <c r="AC104" s="88"/>
      <c r="AD104" s="88"/>
      <c r="AE104" s="88"/>
      <c r="AF104" s="89"/>
    </row>
    <row r="105" spans="1:32" s="27" customFormat="1" ht="13" hidden="1" x14ac:dyDescent="0.3">
      <c r="A105" s="145"/>
      <c r="B105" s="140">
        <v>20</v>
      </c>
      <c r="C105" s="44"/>
      <c r="D105" s="44"/>
      <c r="E105" s="33"/>
      <c r="F105" s="143"/>
      <c r="G105" s="143"/>
      <c r="H105" s="143"/>
      <c r="I105" s="143"/>
      <c r="J105" s="143"/>
      <c r="K105" s="143"/>
      <c r="L105" s="143"/>
      <c r="M105" s="143"/>
      <c r="N105" s="82">
        <v>6.1313999999999993</v>
      </c>
      <c r="O105" s="83">
        <v>73.576799999999992</v>
      </c>
      <c r="P105" s="84">
        <v>4.7199999999999999E-2</v>
      </c>
      <c r="Q105" s="82">
        <v>5.8334999999999999</v>
      </c>
      <c r="R105" s="83">
        <v>70.001999999999995</v>
      </c>
      <c r="S105" s="84">
        <v>4.4499999999999998E-2</v>
      </c>
      <c r="T105" s="82">
        <v>5.2271999999999998</v>
      </c>
      <c r="U105" s="83">
        <v>62.726399999999998</v>
      </c>
      <c r="V105" s="84">
        <v>3.6400000000000002E-2</v>
      </c>
      <c r="W105" s="82">
        <v>5.2668000000000008</v>
      </c>
      <c r="X105" s="83">
        <v>63.201600000000006</v>
      </c>
      <c r="Y105" s="84">
        <v>3.49E-2</v>
      </c>
      <c r="Z105" s="82">
        <v>4.7850000000000001</v>
      </c>
      <c r="AA105" s="83">
        <v>57.42</v>
      </c>
      <c r="AB105" s="84">
        <v>2.6700000000000002E-2</v>
      </c>
      <c r="AC105" s="88"/>
      <c r="AD105" s="88"/>
      <c r="AE105" s="88"/>
      <c r="AF105" s="89"/>
    </row>
    <row r="106" spans="1:32" s="27" customFormat="1" ht="13" hidden="1" x14ac:dyDescent="0.3">
      <c r="A106" s="145"/>
      <c r="B106" s="140"/>
      <c r="C106" s="33"/>
      <c r="D106" s="33"/>
      <c r="E106" s="98"/>
      <c r="F106" s="147"/>
      <c r="G106" s="143"/>
      <c r="H106" s="143"/>
      <c r="I106" s="143"/>
      <c r="J106" s="143"/>
      <c r="K106" s="143"/>
      <c r="L106" s="143"/>
      <c r="M106" s="143"/>
      <c r="N106" s="82"/>
      <c r="O106" s="90"/>
      <c r="P106" s="91"/>
      <c r="Q106" s="82"/>
      <c r="R106" s="90"/>
      <c r="S106" s="91"/>
      <c r="T106" s="82"/>
      <c r="U106" s="90"/>
      <c r="V106" s="91"/>
      <c r="W106" s="82"/>
      <c r="X106" s="90"/>
      <c r="Y106" s="91"/>
      <c r="Z106" s="82"/>
      <c r="AA106" s="90"/>
      <c r="AB106" s="91"/>
      <c r="AC106" s="88"/>
      <c r="AD106" s="88"/>
      <c r="AE106" s="88"/>
      <c r="AF106" s="89"/>
    </row>
    <row r="107" spans="1:32" s="27" customFormat="1" ht="13.5" hidden="1" thickBot="1" x14ac:dyDescent="0.35">
      <c r="A107" s="145"/>
      <c r="B107" s="140"/>
      <c r="C107" s="154"/>
      <c r="D107" s="98"/>
      <c r="E107" s="98"/>
      <c r="F107" s="151"/>
      <c r="G107" s="143"/>
      <c r="H107" s="143"/>
      <c r="I107" s="143"/>
      <c r="J107" s="143"/>
      <c r="K107" s="143"/>
      <c r="L107" s="143"/>
      <c r="M107" s="143"/>
      <c r="N107" s="82"/>
      <c r="O107" s="90"/>
      <c r="P107" s="84"/>
      <c r="Q107" s="82"/>
      <c r="R107" s="90"/>
      <c r="S107" s="84"/>
      <c r="T107" s="82"/>
      <c r="U107" s="90"/>
      <c r="V107" s="84"/>
      <c r="W107" s="82"/>
      <c r="X107" s="90"/>
      <c r="Y107" s="84"/>
      <c r="Z107" s="82"/>
      <c r="AA107" s="90"/>
      <c r="AB107" s="84"/>
      <c r="AC107" s="88"/>
      <c r="AD107" s="88"/>
      <c r="AE107" s="88"/>
      <c r="AF107" s="89"/>
    </row>
    <row r="108" spans="1:32" s="27" customFormat="1" hidden="1" x14ac:dyDescent="0.35">
      <c r="A108" s="31"/>
      <c r="B108" s="140"/>
      <c r="C108" s="154"/>
      <c r="D108" s="98"/>
      <c r="E108" s="18"/>
      <c r="F108" s="44"/>
      <c r="G108" s="147"/>
      <c r="H108" s="147"/>
      <c r="I108" s="147"/>
      <c r="J108" s="147"/>
      <c r="K108" s="147"/>
      <c r="L108" s="147"/>
      <c r="M108" s="147"/>
      <c r="N108" s="92"/>
      <c r="O108" s="93"/>
      <c r="P108" s="94"/>
      <c r="Q108" s="92"/>
      <c r="R108" s="93"/>
      <c r="S108" s="94"/>
      <c r="T108" s="92"/>
      <c r="U108" s="93"/>
      <c r="V108" s="94"/>
      <c r="W108" s="92"/>
      <c r="X108" s="93"/>
      <c r="Y108" s="94"/>
      <c r="Z108" s="92"/>
      <c r="AA108" s="93"/>
      <c r="AB108" s="94"/>
      <c r="AC108" s="31"/>
      <c r="AD108" s="31"/>
      <c r="AE108" s="31"/>
    </row>
    <row r="109" spans="1:32" s="27" customFormat="1" ht="15" hidden="1" thickBot="1" x14ac:dyDescent="0.4">
      <c r="A109" s="31"/>
      <c r="B109" s="148"/>
      <c r="C109" s="32"/>
      <c r="D109" s="18"/>
      <c r="E109" s="99"/>
      <c r="F109" s="33"/>
      <c r="G109" s="151"/>
      <c r="H109" s="151"/>
      <c r="I109" s="151"/>
      <c r="J109" s="151"/>
      <c r="K109" s="151"/>
      <c r="L109" s="151"/>
      <c r="M109" s="151"/>
      <c r="N109" s="95"/>
      <c r="O109" s="96"/>
      <c r="P109" s="97"/>
      <c r="Q109" s="95"/>
      <c r="R109" s="96"/>
      <c r="S109" s="97"/>
      <c r="T109" s="95"/>
      <c r="U109" s="96"/>
      <c r="V109" s="97"/>
      <c r="W109" s="95"/>
      <c r="X109" s="96"/>
      <c r="Y109" s="97"/>
      <c r="Z109" s="95"/>
      <c r="AA109" s="96"/>
      <c r="AB109" s="97"/>
    </row>
    <row r="110" spans="1:32" s="27" customFormat="1" ht="13" hidden="1" x14ac:dyDescent="0.3">
      <c r="A110" s="44"/>
      <c r="B110" s="152"/>
      <c r="C110" s="153" t="s">
        <v>194</v>
      </c>
      <c r="D110" s="99" t="e">
        <f>IF(DX_Capacity&gt;=760,IF(DX_EER&gt;=MIN_EER2_760,"QUAL","DNQ"),IF(DX_Capacity&gt;=240,IF(DX_EER&gt;=Min_EER2_240_760,"QUAL","DNQ"),IF(DX_Capacity&gt;=135,IF(DX_EER&gt;=Min_EER2_135_240,"QUAL","DNQ"),IF(DX_Capacity&gt;=65,IF(DX_EER&gt;=Min_EER2_65_135,"QUAL","DNQ"),IF(DX_Capacity&lt;65,IF(DX_EER&gt;=Min_SEER2_65,"QUAL","DNQ"),"OTHER")))))</f>
        <v>#NAME?</v>
      </c>
      <c r="E110" s="155"/>
      <c r="F110" s="98"/>
      <c r="G110" s="44"/>
      <c r="H110" s="44"/>
      <c r="I110" s="44"/>
      <c r="J110" s="44"/>
      <c r="K110" s="44"/>
      <c r="L110" s="44"/>
      <c r="M110" s="44"/>
      <c r="N110" s="44"/>
      <c r="O110" s="44"/>
      <c r="P110" s="44"/>
      <c r="Q110" s="44"/>
      <c r="R110" s="44"/>
      <c r="S110" s="44"/>
      <c r="T110" s="44"/>
      <c r="U110" s="44"/>
      <c r="V110" s="44"/>
      <c r="W110" s="33"/>
      <c r="X110" s="33"/>
      <c r="Y110" s="44"/>
      <c r="Z110" s="44"/>
      <c r="AA110" s="44"/>
      <c r="AB110" s="44"/>
    </row>
    <row r="111" spans="1:32" s="27" customFormat="1" hidden="1" x14ac:dyDescent="0.35">
      <c r="A111" s="31"/>
      <c r="B111" s="31"/>
      <c r="C111" s="153" t="s">
        <v>195</v>
      </c>
      <c r="D111" s="155" t="e">
        <f>DX_Capacity*IF(DX_Capacity&gt;=760,KW_MBtuh_GE_760,IF(DX_Capacity&gt;=240,kW_MBtuh_GE_240,IF(DX_Capacity&gt;=135,kW_MBtuh_GE_135,IF(DX_Capacity&gt;=65,kW_MBtuh_GE_65,IF(DX_Capacity&lt;65,kW_MBtuh_LT_65,"OTHER")))))</f>
        <v>#NAME?</v>
      </c>
      <c r="E111" s="18"/>
      <c r="F111" s="98"/>
      <c r="G111" s="33"/>
      <c r="H111" s="33"/>
      <c r="I111" s="33"/>
      <c r="J111" s="33"/>
      <c r="K111" s="33"/>
      <c r="L111" s="33"/>
      <c r="M111" s="33"/>
      <c r="N111" s="369" t="s">
        <v>182</v>
      </c>
      <c r="O111" s="370"/>
      <c r="P111" s="371"/>
      <c r="Q111" s="364" t="s">
        <v>183</v>
      </c>
      <c r="R111" s="365"/>
      <c r="S111" s="363"/>
      <c r="T111" s="366" t="s">
        <v>184</v>
      </c>
      <c r="U111" s="367"/>
      <c r="V111" s="368"/>
      <c r="W111" s="366" t="s">
        <v>185</v>
      </c>
      <c r="X111" s="367"/>
      <c r="Y111" s="363"/>
      <c r="Z111" s="361" t="s">
        <v>186</v>
      </c>
      <c r="AA111" s="362"/>
      <c r="AB111" s="363"/>
    </row>
    <row r="112" spans="1:32" s="99" customFormat="1" hidden="1" x14ac:dyDescent="0.35">
      <c r="A112" s="153" t="s">
        <v>196</v>
      </c>
      <c r="B112" s="153"/>
      <c r="C112" s="292"/>
      <c r="D112" s="18"/>
      <c r="E112" s="18"/>
      <c r="F112" s="18"/>
      <c r="G112" s="98"/>
      <c r="H112" s="98"/>
      <c r="I112" s="98"/>
      <c r="J112" s="98"/>
      <c r="K112" s="98"/>
      <c r="L112" s="98"/>
      <c r="M112" s="98"/>
      <c r="N112" s="99" t="e">
        <f>VLOOKUP(DX_EER,DX_kW_Incent_Table,6)</f>
        <v>#NAME?</v>
      </c>
      <c r="O112" s="98"/>
      <c r="P112" s="98"/>
      <c r="Q112" s="99" t="e">
        <f>VLOOKUP(DX_EER,DX_kW_Incent_Table,9)</f>
        <v>#NAME?</v>
      </c>
      <c r="R112" s="98"/>
      <c r="S112" s="98"/>
      <c r="T112" s="99" t="e">
        <f>VLOOKUP(DX_EER,DX_kW_Incent_Table,12)</f>
        <v>#NAME?</v>
      </c>
      <c r="U112" s="98"/>
      <c r="V112" s="98"/>
      <c r="W112" s="99" t="e">
        <f>VLOOKUP(DX_EER,DX_kW_Incent_Table,15)</f>
        <v>#NAME?</v>
      </c>
      <c r="X112" s="98"/>
      <c r="Y112" s="98"/>
      <c r="Z112" s="99" t="e">
        <f>VLOOKUP(DX_EER,DX_kW_Incent_Table,18)</f>
        <v>#NAME?</v>
      </c>
      <c r="AA112" s="98"/>
      <c r="AB112" s="98"/>
    </row>
    <row r="113" spans="1:28" s="99" customFormat="1" hidden="1" x14ac:dyDescent="0.35">
      <c r="A113" s="153" t="s">
        <v>197</v>
      </c>
      <c r="B113" s="153"/>
      <c r="C113" s="18"/>
      <c r="D113" s="18"/>
      <c r="E113" s="18"/>
      <c r="G113" s="98"/>
      <c r="H113" s="98"/>
      <c r="I113" s="98"/>
      <c r="J113" s="98"/>
      <c r="K113" s="98"/>
      <c r="L113" s="98"/>
      <c r="M113" s="98"/>
      <c r="N113" s="99" t="e">
        <f>VLOOKUP(DX_EER,DX_kW_Incent_Table,4)</f>
        <v>#NAME?</v>
      </c>
      <c r="O113" s="98"/>
      <c r="P113" s="98"/>
      <c r="Q113" s="99" t="e">
        <f>VLOOKUP(DX_EER,DX_kW_Incent_Table,7)</f>
        <v>#NAME?</v>
      </c>
      <c r="R113" s="98"/>
      <c r="S113" s="98"/>
      <c r="T113" s="99" t="e">
        <f>VLOOKUP(DX_EER,DX_kW_Incent_Table,10)</f>
        <v>#NAME?</v>
      </c>
      <c r="U113" s="98"/>
      <c r="V113" s="98"/>
      <c r="W113" s="99" t="e">
        <f>VLOOKUP(DX_EER,DX_kW_Incent_Table,13)</f>
        <v>#NAME?</v>
      </c>
      <c r="X113" s="98"/>
      <c r="Y113" s="98"/>
      <c r="Z113" s="99" t="e">
        <f>VLOOKUP(DX_EER,DX_kW_Incent_Table,16)</f>
        <v>#NAME?</v>
      </c>
      <c r="AA113" s="98"/>
      <c r="AB113" s="98"/>
    </row>
    <row r="114" spans="1:28" s="18" customFormat="1" hidden="1" x14ac:dyDescent="0.35">
      <c r="A114" s="32"/>
      <c r="B114" s="32"/>
      <c r="F114" s="155"/>
    </row>
    <row r="115" spans="1:28" s="18" customFormat="1" hidden="1" x14ac:dyDescent="0.35">
      <c r="A115" s="32"/>
      <c r="B115" s="32"/>
      <c r="G115" s="99"/>
      <c r="H115" s="99"/>
      <c r="I115" s="99"/>
      <c r="J115" s="99"/>
      <c r="K115" s="99"/>
      <c r="L115" s="99"/>
      <c r="M115" s="99"/>
    </row>
    <row r="116" spans="1:28" s="18" customFormat="1" hidden="1" x14ac:dyDescent="0.35">
      <c r="A116" s="32"/>
      <c r="B116" s="32"/>
      <c r="G116" s="155"/>
      <c r="H116" s="155"/>
      <c r="I116" s="155"/>
      <c r="J116" s="155"/>
      <c r="K116" s="155"/>
      <c r="L116" s="155"/>
      <c r="M116" s="155"/>
    </row>
    <row r="117" spans="1:28" s="18" customFormat="1" hidden="1" x14ac:dyDescent="0.35"/>
    <row r="118" spans="1:28" s="18" customFormat="1" hidden="1" x14ac:dyDescent="0.35">
      <c r="P118" s="292"/>
    </row>
    <row r="119" spans="1:28" s="18" customFormat="1" hidden="1" x14ac:dyDescent="0.35"/>
    <row r="120" spans="1:28" s="18" customFormat="1" hidden="1" x14ac:dyDescent="0.35"/>
    <row r="121" spans="1:28" s="18" customFormat="1" hidden="1" x14ac:dyDescent="0.35"/>
    <row r="122" spans="1:28" s="18" customFormat="1" hidden="1" x14ac:dyDescent="0.35"/>
    <row r="123" spans="1:28" s="18" customFormat="1" x14ac:dyDescent="0.35"/>
    <row r="124" spans="1:28" s="18" customFormat="1" x14ac:dyDescent="0.35"/>
    <row r="125" spans="1:28" s="18" customFormat="1" x14ac:dyDescent="0.35"/>
    <row r="126" spans="1:28" s="18" customFormat="1" x14ac:dyDescent="0.35"/>
    <row r="127" spans="1:28" s="18" customFormat="1" x14ac:dyDescent="0.35"/>
    <row r="128" spans="1:28" s="18" customFormat="1" x14ac:dyDescent="0.35"/>
    <row r="129" s="18" customFormat="1" x14ac:dyDescent="0.35"/>
    <row r="130" s="18" customFormat="1" x14ac:dyDescent="0.35"/>
    <row r="131" s="18" customFormat="1" x14ac:dyDescent="0.35"/>
    <row r="132" s="18" customFormat="1" x14ac:dyDescent="0.35"/>
    <row r="133" s="18" customFormat="1" x14ac:dyDescent="0.35"/>
    <row r="134" s="18" customFormat="1" x14ac:dyDescent="0.35"/>
    <row r="135" s="18" customFormat="1" x14ac:dyDescent="0.35"/>
    <row r="136" s="18" customFormat="1" x14ac:dyDescent="0.35"/>
    <row r="137" s="18" customFormat="1" x14ac:dyDescent="0.35"/>
    <row r="138" s="18" customFormat="1" x14ac:dyDescent="0.35"/>
    <row r="139" s="18" customFormat="1" x14ac:dyDescent="0.35"/>
    <row r="140" s="18" customFormat="1" x14ac:dyDescent="0.35"/>
    <row r="141" s="18" customFormat="1" x14ac:dyDescent="0.35"/>
    <row r="142" s="18" customFormat="1" x14ac:dyDescent="0.35"/>
    <row r="143" s="18" customFormat="1" x14ac:dyDescent="0.35"/>
    <row r="144" s="18" customFormat="1" x14ac:dyDescent="0.35"/>
    <row r="145" s="18" customFormat="1" x14ac:dyDescent="0.35"/>
    <row r="146" s="18" customFormat="1" x14ac:dyDescent="0.35"/>
    <row r="147" s="18" customFormat="1" x14ac:dyDescent="0.35"/>
    <row r="148" s="18" customFormat="1" x14ac:dyDescent="0.35"/>
    <row r="149" s="18" customFormat="1" x14ac:dyDescent="0.35"/>
    <row r="150" s="18" customFormat="1" x14ac:dyDescent="0.35"/>
    <row r="151" s="18" customFormat="1" x14ac:dyDescent="0.35"/>
    <row r="152" s="18" customFormat="1" x14ac:dyDescent="0.35"/>
    <row r="153" s="18" customFormat="1" x14ac:dyDescent="0.35"/>
    <row r="154" s="18" customFormat="1" x14ac:dyDescent="0.35"/>
    <row r="155" s="18" customFormat="1" x14ac:dyDescent="0.35"/>
    <row r="156" s="18" customFormat="1" x14ac:dyDescent="0.35"/>
    <row r="157" s="18" customFormat="1" x14ac:dyDescent="0.35"/>
    <row r="158" s="18" customFormat="1" x14ac:dyDescent="0.35"/>
    <row r="159" s="18" customFormat="1" x14ac:dyDescent="0.35"/>
    <row r="160" s="18" customFormat="1" x14ac:dyDescent="0.35"/>
    <row r="161" s="18" customFormat="1" x14ac:dyDescent="0.35"/>
    <row r="162" s="18" customFormat="1" x14ac:dyDescent="0.35"/>
    <row r="163" s="18" customFormat="1" x14ac:dyDescent="0.35"/>
    <row r="164" s="18" customFormat="1" x14ac:dyDescent="0.35"/>
    <row r="165" s="18" customFormat="1" x14ac:dyDescent="0.35"/>
    <row r="166" s="18" customFormat="1" x14ac:dyDescent="0.35"/>
    <row r="167" s="18" customFormat="1" x14ac:dyDescent="0.35"/>
    <row r="168" s="18" customFormat="1" x14ac:dyDescent="0.35"/>
    <row r="169" s="18" customFormat="1" x14ac:dyDescent="0.35"/>
    <row r="170" s="18" customFormat="1" x14ac:dyDescent="0.35"/>
    <row r="171" s="18" customFormat="1" x14ac:dyDescent="0.35"/>
    <row r="172" s="18" customFormat="1" x14ac:dyDescent="0.35"/>
    <row r="173" s="18" customFormat="1" x14ac:dyDescent="0.35"/>
    <row r="174" s="18" customFormat="1" x14ac:dyDescent="0.35"/>
    <row r="175" s="18" customFormat="1" x14ac:dyDescent="0.35"/>
    <row r="176" s="18" customFormat="1" x14ac:dyDescent="0.35"/>
    <row r="177" s="18" customFormat="1" x14ac:dyDescent="0.35"/>
    <row r="178" s="18" customFormat="1" x14ac:dyDescent="0.35"/>
    <row r="179" s="18" customFormat="1" x14ac:dyDescent="0.35"/>
    <row r="180" s="18" customFormat="1" x14ac:dyDescent="0.35"/>
    <row r="181" s="18" customFormat="1" x14ac:dyDescent="0.35"/>
    <row r="182" s="18" customFormat="1" x14ac:dyDescent="0.35"/>
    <row r="183" s="18" customFormat="1" x14ac:dyDescent="0.35"/>
    <row r="184" s="18" customFormat="1" x14ac:dyDescent="0.35"/>
    <row r="185" s="18" customFormat="1" x14ac:dyDescent="0.35"/>
    <row r="186" s="18" customFormat="1" x14ac:dyDescent="0.35"/>
    <row r="187" s="18" customFormat="1" x14ac:dyDescent="0.35"/>
    <row r="188" s="18" customFormat="1" x14ac:dyDescent="0.35"/>
    <row r="189" s="18" customFormat="1" x14ac:dyDescent="0.35"/>
    <row r="190" s="18" customFormat="1" x14ac:dyDescent="0.35"/>
    <row r="191" s="18" customFormat="1" x14ac:dyDescent="0.35"/>
    <row r="192" s="18" customFormat="1" x14ac:dyDescent="0.35"/>
    <row r="193" s="18" customFormat="1" x14ac:dyDescent="0.35"/>
    <row r="194" s="18" customFormat="1" x14ac:dyDescent="0.35"/>
    <row r="195" s="18" customFormat="1" x14ac:dyDescent="0.35"/>
    <row r="196" s="18" customFormat="1" x14ac:dyDescent="0.35"/>
    <row r="197" s="18" customFormat="1" x14ac:dyDescent="0.35"/>
    <row r="198" s="18" customFormat="1" x14ac:dyDescent="0.35"/>
    <row r="199" s="18" customFormat="1" x14ac:dyDescent="0.35"/>
    <row r="200" s="18" customFormat="1" x14ac:dyDescent="0.35"/>
    <row r="201" s="18" customFormat="1" x14ac:dyDescent="0.35"/>
    <row r="202" s="18" customFormat="1" x14ac:dyDescent="0.35"/>
    <row r="203" s="18" customFormat="1" x14ac:dyDescent="0.35"/>
    <row r="204" s="18" customFormat="1" x14ac:dyDescent="0.35"/>
    <row r="205" s="18" customFormat="1" x14ac:dyDescent="0.35"/>
    <row r="206" s="18" customFormat="1" x14ac:dyDescent="0.35"/>
    <row r="207" s="18" customFormat="1" x14ac:dyDescent="0.35"/>
    <row r="208" s="18" customFormat="1" x14ac:dyDescent="0.35"/>
    <row r="209" s="18" customFormat="1" x14ac:dyDescent="0.35"/>
    <row r="210" s="18" customFormat="1" x14ac:dyDescent="0.35"/>
    <row r="211" s="18" customFormat="1" x14ac:dyDescent="0.35"/>
    <row r="212" s="18" customFormat="1" x14ac:dyDescent="0.35"/>
    <row r="213" s="18" customFormat="1" x14ac:dyDescent="0.35"/>
    <row r="214" s="18" customFormat="1" x14ac:dyDescent="0.35"/>
    <row r="215" s="18" customFormat="1" x14ac:dyDescent="0.35"/>
    <row r="216" s="18" customFormat="1" x14ac:dyDescent="0.35"/>
    <row r="217" s="18" customFormat="1" x14ac:dyDescent="0.35"/>
    <row r="218" s="18" customFormat="1" x14ac:dyDescent="0.35"/>
    <row r="219" s="18" customFormat="1" x14ac:dyDescent="0.35"/>
    <row r="220" s="18" customFormat="1" x14ac:dyDescent="0.35"/>
    <row r="221" s="18" customFormat="1" x14ac:dyDescent="0.35"/>
    <row r="222" s="18" customFormat="1" x14ac:dyDescent="0.35"/>
    <row r="223" s="18" customFormat="1" x14ac:dyDescent="0.35"/>
    <row r="224" s="18" customFormat="1" x14ac:dyDescent="0.35"/>
    <row r="225" s="18" customFormat="1" x14ac:dyDescent="0.35"/>
    <row r="226" s="18" customFormat="1" x14ac:dyDescent="0.35"/>
    <row r="227" s="18" customFormat="1" x14ac:dyDescent="0.35"/>
    <row r="228" s="18" customFormat="1" x14ac:dyDescent="0.35"/>
    <row r="229" s="18" customFormat="1" x14ac:dyDescent="0.35"/>
    <row r="230" s="18" customFormat="1" x14ac:dyDescent="0.35"/>
    <row r="231" s="18" customFormat="1" x14ac:dyDescent="0.35"/>
    <row r="232" s="18" customFormat="1" x14ac:dyDescent="0.35"/>
    <row r="233" s="18" customFormat="1" x14ac:dyDescent="0.35"/>
    <row r="234" s="18" customFormat="1" x14ac:dyDescent="0.35"/>
    <row r="235" s="18" customFormat="1" x14ac:dyDescent="0.35"/>
    <row r="236" s="18" customFormat="1" x14ac:dyDescent="0.35"/>
    <row r="237" s="18" customFormat="1" x14ac:dyDescent="0.35"/>
    <row r="238" s="18" customFormat="1" x14ac:dyDescent="0.35"/>
    <row r="239" s="18" customFormat="1" x14ac:dyDescent="0.35"/>
    <row r="240" s="18" customFormat="1" x14ac:dyDescent="0.35"/>
    <row r="241" s="18" customFormat="1" x14ac:dyDescent="0.35"/>
    <row r="242" s="18" customFormat="1" x14ac:dyDescent="0.35"/>
    <row r="243" s="18" customFormat="1" x14ac:dyDescent="0.35"/>
    <row r="244" s="18" customFormat="1" x14ac:dyDescent="0.35"/>
    <row r="245" s="18" customFormat="1" x14ac:dyDescent="0.35"/>
    <row r="246" s="18" customFormat="1" x14ac:dyDescent="0.35"/>
    <row r="247" s="18" customFormat="1" x14ac:dyDescent="0.35"/>
    <row r="248" s="18" customFormat="1" x14ac:dyDescent="0.35"/>
    <row r="249" s="18" customFormat="1" x14ac:dyDescent="0.35"/>
    <row r="250" s="18" customFormat="1" x14ac:dyDescent="0.35"/>
    <row r="251" s="18" customFormat="1" x14ac:dyDescent="0.35"/>
    <row r="252" s="18" customFormat="1" x14ac:dyDescent="0.35"/>
    <row r="253" s="18" customFormat="1" x14ac:dyDescent="0.35"/>
    <row r="254" s="18" customFormat="1" x14ac:dyDescent="0.35"/>
    <row r="255" s="18" customFormat="1" x14ac:dyDescent="0.35"/>
    <row r="256" s="18" customFormat="1" x14ac:dyDescent="0.35"/>
    <row r="257" s="18" customFormat="1" x14ac:dyDescent="0.35"/>
    <row r="258" s="18" customFormat="1" x14ac:dyDescent="0.35"/>
    <row r="259" s="18" customFormat="1" x14ac:dyDescent="0.35"/>
    <row r="260" s="18" customFormat="1" x14ac:dyDescent="0.35"/>
    <row r="261" s="18" customFormat="1" x14ac:dyDescent="0.35"/>
    <row r="262" s="18" customFormat="1" x14ac:dyDescent="0.35"/>
    <row r="263" s="18" customFormat="1" x14ac:dyDescent="0.35"/>
    <row r="264" s="18" customFormat="1" x14ac:dyDescent="0.35"/>
    <row r="265" s="18" customFormat="1" x14ac:dyDescent="0.35"/>
    <row r="266" s="18" customFormat="1" x14ac:dyDescent="0.35"/>
    <row r="267" s="18" customFormat="1" x14ac:dyDescent="0.35"/>
    <row r="268" s="18" customFormat="1" x14ac:dyDescent="0.35"/>
    <row r="269" s="18" customFormat="1" x14ac:dyDescent="0.35"/>
    <row r="270" s="18" customFormat="1" x14ac:dyDescent="0.35"/>
    <row r="271" s="18" customFormat="1" x14ac:dyDescent="0.35"/>
    <row r="272" s="18" customFormat="1" x14ac:dyDescent="0.35"/>
    <row r="273" s="18" customFormat="1" x14ac:dyDescent="0.35"/>
    <row r="274" s="18" customFormat="1" x14ac:dyDescent="0.35"/>
    <row r="275" s="18" customFormat="1" x14ac:dyDescent="0.35"/>
    <row r="276" s="18" customFormat="1" x14ac:dyDescent="0.35"/>
    <row r="277" s="18" customFormat="1" x14ac:dyDescent="0.35"/>
    <row r="278" s="18" customFormat="1" x14ac:dyDescent="0.35"/>
    <row r="279" s="18" customFormat="1" x14ac:dyDescent="0.35"/>
    <row r="280" s="18" customFormat="1" x14ac:dyDescent="0.35"/>
    <row r="281" s="18" customFormat="1" x14ac:dyDescent="0.35"/>
    <row r="282" s="18" customFormat="1" x14ac:dyDescent="0.35"/>
    <row r="283" s="18" customFormat="1" x14ac:dyDescent="0.35"/>
    <row r="284" s="18" customFormat="1" x14ac:dyDescent="0.35"/>
    <row r="285" s="18" customFormat="1" x14ac:dyDescent="0.35"/>
    <row r="286" s="18" customFormat="1" x14ac:dyDescent="0.35"/>
    <row r="287" s="18" customFormat="1" x14ac:dyDescent="0.35"/>
    <row r="288" s="18" customFormat="1" x14ac:dyDescent="0.35"/>
    <row r="289" s="18" customFormat="1" x14ac:dyDescent="0.35"/>
    <row r="290" s="18" customFormat="1" x14ac:dyDescent="0.35"/>
    <row r="291" s="18" customFormat="1" x14ac:dyDescent="0.35"/>
    <row r="292" s="18" customFormat="1" x14ac:dyDescent="0.35"/>
    <row r="293" s="18" customFormat="1" x14ac:dyDescent="0.35"/>
    <row r="294" s="18" customFormat="1" x14ac:dyDescent="0.35"/>
    <row r="295" s="18" customFormat="1" x14ac:dyDescent="0.35"/>
    <row r="296" s="18" customFormat="1" x14ac:dyDescent="0.35"/>
    <row r="297" s="18" customFormat="1" x14ac:dyDescent="0.35"/>
    <row r="298" s="18" customFormat="1" x14ac:dyDescent="0.35"/>
    <row r="299" s="18" customFormat="1" x14ac:dyDescent="0.35"/>
    <row r="300" s="18" customFormat="1" x14ac:dyDescent="0.35"/>
    <row r="301" s="18" customFormat="1" x14ac:dyDescent="0.35"/>
    <row r="302" s="18" customFormat="1" x14ac:dyDescent="0.35"/>
    <row r="303" s="18" customFormat="1" x14ac:dyDescent="0.35"/>
    <row r="304" s="18" customFormat="1" x14ac:dyDescent="0.35"/>
    <row r="305" s="18" customFormat="1" x14ac:dyDescent="0.35"/>
    <row r="306" s="18" customFormat="1" x14ac:dyDescent="0.35"/>
    <row r="307" s="18" customFormat="1" x14ac:dyDescent="0.35"/>
    <row r="308" s="18" customFormat="1" x14ac:dyDescent="0.35"/>
    <row r="309" s="18" customFormat="1" x14ac:dyDescent="0.35"/>
    <row r="310" s="18" customFormat="1" x14ac:dyDescent="0.35"/>
    <row r="311" s="18" customFormat="1" x14ac:dyDescent="0.35"/>
    <row r="312" s="18" customFormat="1" x14ac:dyDescent="0.35"/>
    <row r="313" s="18" customFormat="1" x14ac:dyDescent="0.35"/>
    <row r="314" s="18" customFormat="1" x14ac:dyDescent="0.35"/>
    <row r="315" s="18" customFormat="1" x14ac:dyDescent="0.35"/>
    <row r="316" s="18" customFormat="1" x14ac:dyDescent="0.35"/>
    <row r="317" s="18" customFormat="1" x14ac:dyDescent="0.35"/>
    <row r="318" s="18" customFormat="1" x14ac:dyDescent="0.35"/>
    <row r="319" s="18" customFormat="1" x14ac:dyDescent="0.35"/>
    <row r="320" s="18" customFormat="1" x14ac:dyDescent="0.35"/>
    <row r="321" s="18" customFormat="1" x14ac:dyDescent="0.35"/>
    <row r="322" s="18" customFormat="1" x14ac:dyDescent="0.35"/>
    <row r="323" s="18" customFormat="1" x14ac:dyDescent="0.35"/>
    <row r="324" s="18" customFormat="1" x14ac:dyDescent="0.35"/>
    <row r="325" s="18" customFormat="1" x14ac:dyDescent="0.35"/>
    <row r="326" s="18" customFormat="1" x14ac:dyDescent="0.35"/>
    <row r="327" s="18" customFormat="1" x14ac:dyDescent="0.35"/>
    <row r="328" s="18" customFormat="1" x14ac:dyDescent="0.35"/>
    <row r="329" s="18" customFormat="1" x14ac:dyDescent="0.35"/>
    <row r="330" s="18" customFormat="1" x14ac:dyDescent="0.35"/>
    <row r="331" s="18" customFormat="1" x14ac:dyDescent="0.35"/>
    <row r="332" s="18" customFormat="1" x14ac:dyDescent="0.35"/>
    <row r="333" s="18" customFormat="1" x14ac:dyDescent="0.35"/>
    <row r="334" s="18" customFormat="1" x14ac:dyDescent="0.35"/>
    <row r="335" s="18" customFormat="1" x14ac:dyDescent="0.35"/>
    <row r="336" s="18" customFormat="1" x14ac:dyDescent="0.35"/>
    <row r="337" s="18" customFormat="1" x14ac:dyDescent="0.35"/>
    <row r="338" s="18" customFormat="1" x14ac:dyDescent="0.35"/>
    <row r="339" s="18" customFormat="1" x14ac:dyDescent="0.35"/>
    <row r="340" s="18" customFormat="1" x14ac:dyDescent="0.35"/>
    <row r="341" s="18" customFormat="1" x14ac:dyDescent="0.35"/>
    <row r="342" s="18" customFormat="1" x14ac:dyDescent="0.35"/>
    <row r="343" s="18" customFormat="1" x14ac:dyDescent="0.35"/>
    <row r="344" s="18" customFormat="1" x14ac:dyDescent="0.35"/>
    <row r="345" s="18" customFormat="1" x14ac:dyDescent="0.35"/>
    <row r="346" s="18" customFormat="1" x14ac:dyDescent="0.35"/>
    <row r="347" s="18" customFormat="1" x14ac:dyDescent="0.35"/>
    <row r="348" s="18" customFormat="1" x14ac:dyDescent="0.35"/>
    <row r="349" s="18" customFormat="1" x14ac:dyDescent="0.35"/>
    <row r="350" s="18" customFormat="1" x14ac:dyDescent="0.35"/>
    <row r="351" s="18" customFormat="1" x14ac:dyDescent="0.35"/>
    <row r="352" s="18" customFormat="1" x14ac:dyDescent="0.35"/>
    <row r="353" s="18" customFormat="1" x14ac:dyDescent="0.35"/>
    <row r="354" s="18" customFormat="1" x14ac:dyDescent="0.35"/>
    <row r="355" s="18" customFormat="1" x14ac:dyDescent="0.35"/>
    <row r="356" s="18" customFormat="1" x14ac:dyDescent="0.35"/>
    <row r="357" s="18" customFormat="1" x14ac:dyDescent="0.35"/>
    <row r="358" s="18" customFormat="1" x14ac:dyDescent="0.35"/>
    <row r="359" s="18" customFormat="1" x14ac:dyDescent="0.35"/>
    <row r="360" s="18" customFormat="1" x14ac:dyDescent="0.35"/>
    <row r="361" s="18" customFormat="1" x14ac:dyDescent="0.35"/>
    <row r="362" s="18" customFormat="1" x14ac:dyDescent="0.35"/>
    <row r="363" s="18" customFormat="1" x14ac:dyDescent="0.35"/>
    <row r="364" s="18" customFormat="1" x14ac:dyDescent="0.35"/>
    <row r="365" s="18" customFormat="1" x14ac:dyDescent="0.35"/>
    <row r="366" s="18" customFormat="1" x14ac:dyDescent="0.35"/>
    <row r="367" s="18" customFormat="1" x14ac:dyDescent="0.35"/>
    <row r="368" s="18" customFormat="1" x14ac:dyDescent="0.35"/>
    <row r="369" s="18" customFormat="1" x14ac:dyDescent="0.35"/>
    <row r="370" s="18" customFormat="1" x14ac:dyDescent="0.35"/>
    <row r="371" s="18" customFormat="1" x14ac:dyDescent="0.35"/>
    <row r="372" s="18" customFormat="1" x14ac:dyDescent="0.35"/>
    <row r="373" s="18" customFormat="1" x14ac:dyDescent="0.35"/>
    <row r="374" s="18" customFormat="1" x14ac:dyDescent="0.35"/>
    <row r="375" s="18" customFormat="1" x14ac:dyDescent="0.35"/>
    <row r="376" s="18" customFormat="1" x14ac:dyDescent="0.35"/>
    <row r="377" s="18" customFormat="1" x14ac:dyDescent="0.35"/>
    <row r="378" s="18" customFormat="1" x14ac:dyDescent="0.35"/>
    <row r="379" s="18" customFormat="1" x14ac:dyDescent="0.35"/>
    <row r="380" s="18" customFormat="1" x14ac:dyDescent="0.35"/>
    <row r="381" s="18" customFormat="1" x14ac:dyDescent="0.35"/>
    <row r="382" s="18" customFormat="1" x14ac:dyDescent="0.35"/>
    <row r="383" s="18" customFormat="1" x14ac:dyDescent="0.35"/>
    <row r="384" s="18" customFormat="1" x14ac:dyDescent="0.35"/>
    <row r="385" s="18" customFormat="1" x14ac:dyDescent="0.35"/>
    <row r="386" s="18" customFormat="1" x14ac:dyDescent="0.35"/>
    <row r="387" s="18" customFormat="1" x14ac:dyDescent="0.35"/>
    <row r="388" s="18" customFormat="1" x14ac:dyDescent="0.35"/>
    <row r="389" s="18" customFormat="1" x14ac:dyDescent="0.35"/>
    <row r="390" s="18" customFormat="1" x14ac:dyDescent="0.35"/>
    <row r="391" s="18" customFormat="1" x14ac:dyDescent="0.35"/>
    <row r="392" s="18" customFormat="1" x14ac:dyDescent="0.35"/>
    <row r="393" s="18" customFormat="1" x14ac:dyDescent="0.35"/>
    <row r="394" s="18" customFormat="1" x14ac:dyDescent="0.35"/>
    <row r="395" s="18" customFormat="1" x14ac:dyDescent="0.35"/>
    <row r="396" s="18" customFormat="1" x14ac:dyDescent="0.35"/>
    <row r="397" s="18" customFormat="1" x14ac:dyDescent="0.35"/>
    <row r="398" s="18" customFormat="1" x14ac:dyDescent="0.35"/>
    <row r="399" s="18" customFormat="1" x14ac:dyDescent="0.35"/>
    <row r="400" s="18" customFormat="1" x14ac:dyDescent="0.35"/>
    <row r="401" s="18" customFormat="1" x14ac:dyDescent="0.35"/>
    <row r="402" s="18" customFormat="1" x14ac:dyDescent="0.35"/>
    <row r="403" s="18" customFormat="1" x14ac:dyDescent="0.35"/>
    <row r="404" s="18" customFormat="1" x14ac:dyDescent="0.35"/>
    <row r="405" s="18" customFormat="1" x14ac:dyDescent="0.35"/>
    <row r="406" s="18" customFormat="1" x14ac:dyDescent="0.35"/>
    <row r="407" s="18" customFormat="1" x14ac:dyDescent="0.35"/>
    <row r="408" s="18" customFormat="1" x14ac:dyDescent="0.35"/>
    <row r="409" s="18" customFormat="1" x14ac:dyDescent="0.35"/>
    <row r="410" s="18" customFormat="1" x14ac:dyDescent="0.35"/>
    <row r="411" s="18" customFormat="1" x14ac:dyDescent="0.35"/>
    <row r="412" s="18" customFormat="1" x14ac:dyDescent="0.35"/>
    <row r="413" s="18" customFormat="1" x14ac:dyDescent="0.35"/>
    <row r="414" s="18" customFormat="1" x14ac:dyDescent="0.35"/>
    <row r="415" s="18" customFormat="1" x14ac:dyDescent="0.35"/>
    <row r="416" s="18" customFormat="1" x14ac:dyDescent="0.35"/>
    <row r="417" s="18" customFormat="1" x14ac:dyDescent="0.35"/>
    <row r="418" s="18" customFormat="1" x14ac:dyDescent="0.35"/>
    <row r="419" s="18" customFormat="1" x14ac:dyDescent="0.35"/>
    <row r="420" s="18" customFormat="1" x14ac:dyDescent="0.35"/>
    <row r="421" s="18" customFormat="1" x14ac:dyDescent="0.35"/>
    <row r="422" s="18" customFormat="1" x14ac:dyDescent="0.35"/>
    <row r="423" s="18" customFormat="1" x14ac:dyDescent="0.35"/>
    <row r="424" s="18" customFormat="1" x14ac:dyDescent="0.35"/>
    <row r="425" s="18" customFormat="1" x14ac:dyDescent="0.35"/>
    <row r="426" s="18" customFormat="1" x14ac:dyDescent="0.35"/>
    <row r="427" s="18" customFormat="1" x14ac:dyDescent="0.35"/>
    <row r="428" s="18" customFormat="1" x14ac:dyDescent="0.35"/>
    <row r="429" s="18" customFormat="1" x14ac:dyDescent="0.35"/>
    <row r="430" s="18" customFormat="1" x14ac:dyDescent="0.35"/>
    <row r="431" s="18" customFormat="1" x14ac:dyDescent="0.35"/>
    <row r="432" s="18" customFormat="1" x14ac:dyDescent="0.35"/>
    <row r="433" s="18" customFormat="1" x14ac:dyDescent="0.35"/>
    <row r="434" s="18" customFormat="1" x14ac:dyDescent="0.35"/>
    <row r="435" s="18" customFormat="1" x14ac:dyDescent="0.35"/>
    <row r="436" s="18" customFormat="1" x14ac:dyDescent="0.35"/>
    <row r="437" s="18" customFormat="1" x14ac:dyDescent="0.35"/>
    <row r="438" s="18" customFormat="1" x14ac:dyDescent="0.35"/>
    <row r="439" s="18" customFormat="1" x14ac:dyDescent="0.35"/>
    <row r="440" s="18" customFormat="1" x14ac:dyDescent="0.35"/>
    <row r="441" s="18" customFormat="1" x14ac:dyDescent="0.35"/>
    <row r="442" s="18" customFormat="1" x14ac:dyDescent="0.35"/>
    <row r="443" s="18" customFormat="1" x14ac:dyDescent="0.35"/>
    <row r="444" s="18" customFormat="1" x14ac:dyDescent="0.35"/>
    <row r="445" s="18" customFormat="1" x14ac:dyDescent="0.35"/>
    <row r="446" s="18" customFormat="1" x14ac:dyDescent="0.35"/>
    <row r="447" s="18" customFormat="1" x14ac:dyDescent="0.35"/>
    <row r="448" s="18" customFormat="1" x14ac:dyDescent="0.35"/>
    <row r="449" s="18" customFormat="1" x14ac:dyDescent="0.35"/>
    <row r="450" s="18" customFormat="1" x14ac:dyDescent="0.35"/>
    <row r="451" s="18" customFormat="1" x14ac:dyDescent="0.35"/>
    <row r="452" s="18" customFormat="1" x14ac:dyDescent="0.35"/>
    <row r="453" s="18" customFormat="1" x14ac:dyDescent="0.35"/>
    <row r="454" s="18" customFormat="1" x14ac:dyDescent="0.35"/>
    <row r="455" s="18" customFormat="1" x14ac:dyDescent="0.35"/>
    <row r="456" s="18" customFormat="1" x14ac:dyDescent="0.35"/>
    <row r="457" s="18" customFormat="1" x14ac:dyDescent="0.35"/>
    <row r="458" s="18" customFormat="1" x14ac:dyDescent="0.35"/>
    <row r="459" s="18" customFormat="1" x14ac:dyDescent="0.35"/>
    <row r="460" s="18" customFormat="1" x14ac:dyDescent="0.35"/>
    <row r="461" s="18" customFormat="1" x14ac:dyDescent="0.35"/>
    <row r="462" s="18" customFormat="1" x14ac:dyDescent="0.35"/>
    <row r="463" s="18" customFormat="1" x14ac:dyDescent="0.35"/>
    <row r="464" s="18" customFormat="1" x14ac:dyDescent="0.35"/>
    <row r="465" s="18" customFormat="1" x14ac:dyDescent="0.35"/>
    <row r="466" s="18" customFormat="1" x14ac:dyDescent="0.35"/>
    <row r="467" s="18" customFormat="1" x14ac:dyDescent="0.35"/>
    <row r="468" s="18" customFormat="1" x14ac:dyDescent="0.35"/>
    <row r="469" s="18" customFormat="1" x14ac:dyDescent="0.35"/>
    <row r="470" s="18" customFormat="1" x14ac:dyDescent="0.35"/>
    <row r="471" s="18" customFormat="1" x14ac:dyDescent="0.35"/>
    <row r="472" s="18" customFormat="1" x14ac:dyDescent="0.35"/>
    <row r="473" s="18" customFormat="1" x14ac:dyDescent="0.35"/>
    <row r="474" s="18" customFormat="1" x14ac:dyDescent="0.35"/>
    <row r="475" s="18" customFormat="1" x14ac:dyDescent="0.35"/>
    <row r="476" s="18" customFormat="1" x14ac:dyDescent="0.35"/>
    <row r="477" s="18" customFormat="1" x14ac:dyDescent="0.35"/>
    <row r="478" s="18" customFormat="1" x14ac:dyDescent="0.35"/>
    <row r="479" s="18" customFormat="1" x14ac:dyDescent="0.35"/>
    <row r="480" s="18" customFormat="1" x14ac:dyDescent="0.35"/>
    <row r="481" s="18" customFormat="1" x14ac:dyDescent="0.35"/>
    <row r="482" s="18" customFormat="1" x14ac:dyDescent="0.35"/>
    <row r="483" s="18" customFormat="1" x14ac:dyDescent="0.35"/>
    <row r="484" s="18" customFormat="1" x14ac:dyDescent="0.35"/>
    <row r="485" s="18" customFormat="1" x14ac:dyDescent="0.35"/>
    <row r="486" s="18" customFormat="1" x14ac:dyDescent="0.35"/>
    <row r="487" s="18" customFormat="1" x14ac:dyDescent="0.35"/>
    <row r="488" s="18" customFormat="1" x14ac:dyDescent="0.35"/>
    <row r="489" s="18" customFormat="1" x14ac:dyDescent="0.35"/>
    <row r="490" s="18" customFormat="1" x14ac:dyDescent="0.35"/>
    <row r="491" s="18" customFormat="1" x14ac:dyDescent="0.35"/>
    <row r="492" s="18" customFormat="1" x14ac:dyDescent="0.35"/>
    <row r="493" s="18" customFormat="1" x14ac:dyDescent="0.35"/>
    <row r="494" s="18" customFormat="1" x14ac:dyDescent="0.35"/>
    <row r="495" s="18" customFormat="1" x14ac:dyDescent="0.35"/>
    <row r="496" s="18" customFormat="1" x14ac:dyDescent="0.35"/>
    <row r="497" s="18" customFormat="1" x14ac:dyDescent="0.35"/>
    <row r="498" s="18" customFormat="1" x14ac:dyDescent="0.35"/>
    <row r="499" s="18" customFormat="1" x14ac:dyDescent="0.35"/>
    <row r="500" s="18" customFormat="1" x14ac:dyDescent="0.35"/>
    <row r="501" s="18" customFormat="1" x14ac:dyDescent="0.35"/>
    <row r="502" s="18" customFormat="1" x14ac:dyDescent="0.35"/>
    <row r="503" s="18" customFormat="1" x14ac:dyDescent="0.35"/>
    <row r="504" s="18" customFormat="1" x14ac:dyDescent="0.35"/>
    <row r="505" s="18" customFormat="1" x14ac:dyDescent="0.35"/>
    <row r="506" s="18" customFormat="1" x14ac:dyDescent="0.35"/>
    <row r="507" s="18" customFormat="1" x14ac:dyDescent="0.35"/>
    <row r="508" s="18" customFormat="1" x14ac:dyDescent="0.35"/>
    <row r="509" s="18" customFormat="1" x14ac:dyDescent="0.35"/>
    <row r="510" s="18" customFormat="1" x14ac:dyDescent="0.35"/>
    <row r="511" s="18" customFormat="1" x14ac:dyDescent="0.35"/>
    <row r="512" s="18" customFormat="1" x14ac:dyDescent="0.35"/>
    <row r="513" spans="3:6" s="18" customFormat="1" x14ac:dyDescent="0.35"/>
    <row r="514" spans="3:6" s="18" customFormat="1" x14ac:dyDescent="0.35"/>
    <row r="515" spans="3:6" s="18" customFormat="1" x14ac:dyDescent="0.35"/>
    <row r="516" spans="3:6" s="18" customFormat="1" x14ac:dyDescent="0.35">
      <c r="E516" s="17"/>
    </row>
    <row r="517" spans="3:6" s="18" customFormat="1" x14ac:dyDescent="0.35">
      <c r="C517" s="17"/>
      <c r="D517" s="17"/>
      <c r="E517" s="17"/>
    </row>
    <row r="518" spans="3:6" s="18" customFormat="1" x14ac:dyDescent="0.35">
      <c r="C518" s="17"/>
      <c r="D518" s="17"/>
      <c r="E518" s="17"/>
    </row>
    <row r="519" spans="3:6" s="18" customFormat="1" x14ac:dyDescent="0.35">
      <c r="C519" s="17"/>
      <c r="D519" s="17"/>
      <c r="E519" s="17"/>
    </row>
    <row r="520" spans="3:6" s="18" customFormat="1" x14ac:dyDescent="0.35">
      <c r="C520" s="17"/>
      <c r="D520" s="17"/>
      <c r="E520" s="17"/>
      <c r="F520" s="17"/>
    </row>
    <row r="521" spans="3:6" s="18" customFormat="1" x14ac:dyDescent="0.35">
      <c r="C521" s="17"/>
      <c r="D521" s="17"/>
      <c r="E521" s="17"/>
      <c r="F521" s="17"/>
    </row>
  </sheetData>
  <sheetProtection algorithmName="SHA-512" hashValue="RWvcHwP+nZjbv4DOwqWIOXrP1jOpumszR1vfNeNcgCg7p9L+ElOJI08aQvyB5hafJNTGKh/KsftdUxy5ibucjw==" saltValue="PM3nTUnKr0cEVpZCZexLaA==" spinCount="100000" sheet="1" objects="1" scenarios="1"/>
  <mergeCells count="22">
    <mergeCell ref="N81:P81"/>
    <mergeCell ref="N111:P111"/>
    <mergeCell ref="Q111:S111"/>
    <mergeCell ref="T111:V111"/>
    <mergeCell ref="W111:Y111"/>
    <mergeCell ref="Z111:AB111"/>
    <mergeCell ref="Z80:AB80"/>
    <mergeCell ref="Q81:S81"/>
    <mergeCell ref="T81:V81"/>
    <mergeCell ref="W81:Y81"/>
    <mergeCell ref="Z81:AB81"/>
    <mergeCell ref="N79:W79"/>
    <mergeCell ref="N80:P80"/>
    <mergeCell ref="Q80:S80"/>
    <mergeCell ref="T80:V80"/>
    <mergeCell ref="W80:Y80"/>
    <mergeCell ref="P9:Q9"/>
    <mergeCell ref="C34:D34"/>
    <mergeCell ref="P28:Q28"/>
    <mergeCell ref="P32:Q32"/>
    <mergeCell ref="P15:Q15"/>
    <mergeCell ref="P17:Q17"/>
  </mergeCells>
  <phoneticPr fontId="18" type="noConversion"/>
  <dataValidations count="2">
    <dataValidation type="list" allowBlank="1" showInputMessage="1" showErrorMessage="1" promptTitle="Efficiency" sqref="D46:E46 F50:I50" xr:uid="{65308389-E8EF-4D56-9021-5DDA3D02B68E}">
      <formula1>$P$34:$P$39</formula1>
    </dataValidation>
    <dataValidation type="list" allowBlank="1" showInputMessage="1" showErrorMessage="1" promptTitle="HeatPump" sqref="F51:J52 D47:E48" xr:uid="{98CA0E30-73E5-41A0-8968-F3458BC87E25}">
      <formula1>$D$32:$D$33</formula1>
    </dataValidation>
  </dataValidations>
  <hyperlinks>
    <hyperlink ref="D64" r:id="rId1" xr:uid="{59FFA3D1-BF3B-495A-A874-3671E3AE0440}"/>
    <hyperlink ref="D63" r:id="rId2" xr:uid="{B7D60C5E-D314-4EB8-B246-20EEE52897F2}"/>
    <hyperlink ref="D61" r:id="rId3" xr:uid="{CD5E5DA0-0D85-4729-86E7-B85BFBEC795C}"/>
    <hyperlink ref="D62" r:id="rId4" xr:uid="{B84317F7-1A59-44E6-A319-BF6E1E7634F2}"/>
  </hyperlinks>
  <pageMargins left="0.7" right="0.7" top="0.75" bottom="0.75" header="0.3" footer="0.3"/>
  <pageSetup orientation="portrait" horizontalDpi="90" verticalDpi="90"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E6DDB-2E7E-44D9-A99B-A9FC82C20E3B}">
  <dimension ref="A1:V104"/>
  <sheetViews>
    <sheetView topLeftCell="AE1" zoomScaleNormal="100" workbookViewId="0">
      <selection activeCell="AQ41" sqref="AQ41"/>
    </sheetView>
  </sheetViews>
  <sheetFormatPr defaultColWidth="9.1796875" defaultRowHeight="12.5" x14ac:dyDescent="0.25"/>
  <cols>
    <col min="1" max="1" width="29.26953125" style="3" hidden="1" customWidth="1"/>
    <col min="2" max="2" width="24.1796875" style="3" hidden="1" customWidth="1"/>
    <col min="3" max="3" width="21" style="3" hidden="1" customWidth="1"/>
    <col min="4" max="4" width="21.26953125" style="3" hidden="1" customWidth="1"/>
    <col min="5" max="7" width="12.453125" style="3" hidden="1" customWidth="1"/>
    <col min="8" max="10" width="0" style="3" hidden="1" customWidth="1"/>
    <col min="11" max="11" width="9.54296875" style="3" hidden="1" customWidth="1"/>
    <col min="12" max="30" width="0" style="3" hidden="1" customWidth="1"/>
    <col min="31" max="16384" width="9.1796875" style="3"/>
  </cols>
  <sheetData>
    <row r="1" spans="1:22" ht="20" x14ac:dyDescent="0.4">
      <c r="A1" s="1" t="s">
        <v>198</v>
      </c>
      <c r="B1" s="2"/>
    </row>
    <row r="2" spans="1:22" ht="15.5" x14ac:dyDescent="0.35">
      <c r="A2" s="1" t="s">
        <v>199</v>
      </c>
    </row>
    <row r="3" spans="1:22" ht="31" x14ac:dyDescent="0.35">
      <c r="L3" s="15" t="s">
        <v>105</v>
      </c>
      <c r="V3"/>
    </row>
    <row r="4" spans="1:22" s="4" customFormat="1" ht="15.5" x14ac:dyDescent="0.35">
      <c r="A4" s="4" t="s">
        <v>200</v>
      </c>
      <c r="B4" s="4" t="s">
        <v>201</v>
      </c>
      <c r="C4" s="4" t="s">
        <v>9</v>
      </c>
      <c r="D4" s="4" t="s">
        <v>81</v>
      </c>
      <c r="E4" s="4" t="s">
        <v>10</v>
      </c>
      <c r="F4" s="4" t="s">
        <v>12</v>
      </c>
      <c r="G4" s="4" t="s">
        <v>154</v>
      </c>
      <c r="L4" s="4" t="s">
        <v>10</v>
      </c>
    </row>
    <row r="5" spans="1:22" ht="13" x14ac:dyDescent="0.3">
      <c r="A5" s="3" t="s">
        <v>202</v>
      </c>
      <c r="B5" s="5" t="s">
        <v>203</v>
      </c>
      <c r="C5" s="6">
        <v>13</v>
      </c>
      <c r="D5" s="6">
        <v>13.4</v>
      </c>
      <c r="E5" s="6"/>
      <c r="F5" s="6"/>
      <c r="G5" s="7">
        <f>D5/L5</f>
        <v>1.1074380165289257</v>
      </c>
      <c r="H5" s="8" t="s">
        <v>204</v>
      </c>
      <c r="L5" s="3">
        <v>12.1</v>
      </c>
      <c r="M5" s="10">
        <f>C5/L5</f>
        <v>1.0743801652892562</v>
      </c>
    </row>
    <row r="6" spans="1:22" x14ac:dyDescent="0.25">
      <c r="A6" s="9" t="s">
        <v>205</v>
      </c>
      <c r="B6" s="24" t="s">
        <v>206</v>
      </c>
      <c r="C6" s="25"/>
      <c r="D6" s="25"/>
      <c r="E6" s="26">
        <v>11.2</v>
      </c>
      <c r="F6" s="25">
        <v>14.8</v>
      </c>
      <c r="G6" s="7">
        <f>+F6/E6</f>
        <v>1.3214285714285716</v>
      </c>
      <c r="L6">
        <v>12.1</v>
      </c>
      <c r="M6" s="10">
        <f t="shared" ref="M6:M13" si="0">E6/L6</f>
        <v>0.92561983471074372</v>
      </c>
    </row>
    <row r="7" spans="1:22" x14ac:dyDescent="0.25">
      <c r="A7" s="9" t="s">
        <v>205</v>
      </c>
      <c r="B7" s="5" t="s">
        <v>207</v>
      </c>
      <c r="C7" s="6"/>
      <c r="D7" s="6"/>
      <c r="E7" s="6">
        <v>11</v>
      </c>
      <c r="F7" s="6">
        <v>14.6</v>
      </c>
      <c r="G7" s="10">
        <f t="shared" ref="G7:G13" si="1">+F7/E7</f>
        <v>1.3272727272727272</v>
      </c>
      <c r="L7" s="3">
        <v>11.9</v>
      </c>
      <c r="M7" s="10">
        <f t="shared" si="0"/>
        <v>0.9243697478991596</v>
      </c>
    </row>
    <row r="8" spans="1:22" x14ac:dyDescent="0.25">
      <c r="A8" s="9" t="s">
        <v>208</v>
      </c>
      <c r="B8" s="24" t="s">
        <v>206</v>
      </c>
      <c r="C8" s="25"/>
      <c r="D8" s="25"/>
      <c r="E8" s="26">
        <v>11</v>
      </c>
      <c r="F8" s="25">
        <v>14.2</v>
      </c>
      <c r="G8" s="7">
        <f t="shared" si="1"/>
        <v>1.2909090909090908</v>
      </c>
      <c r="L8" s="3">
        <v>12.5</v>
      </c>
      <c r="M8" s="10">
        <f t="shared" si="0"/>
        <v>0.88</v>
      </c>
    </row>
    <row r="9" spans="1:22" x14ac:dyDescent="0.25">
      <c r="A9" s="9" t="s">
        <v>208</v>
      </c>
      <c r="B9" s="5" t="s">
        <v>207</v>
      </c>
      <c r="C9" s="6"/>
      <c r="D9" s="6"/>
      <c r="E9" s="6">
        <v>10.8</v>
      </c>
      <c r="F9" s="6">
        <v>14</v>
      </c>
      <c r="G9" s="10">
        <f t="shared" si="1"/>
        <v>1.2962962962962963</v>
      </c>
      <c r="I9" s="293">
        <f>AVERAGE(G6:G13)</f>
        <v>1.3082292417589101</v>
      </c>
      <c r="L9" s="3">
        <v>12.3</v>
      </c>
      <c r="M9" s="10">
        <f t="shared" si="0"/>
        <v>0.87804878048780488</v>
      </c>
    </row>
    <row r="10" spans="1:22" x14ac:dyDescent="0.25">
      <c r="A10" s="9" t="s">
        <v>209</v>
      </c>
      <c r="B10" s="24" t="s">
        <v>206</v>
      </c>
      <c r="C10" s="25"/>
      <c r="D10" s="25"/>
      <c r="E10" s="26">
        <v>10</v>
      </c>
      <c r="F10" s="25">
        <v>13.2</v>
      </c>
      <c r="G10" s="7">
        <f t="shared" si="1"/>
        <v>1.3199999999999998</v>
      </c>
      <c r="L10" s="3">
        <v>12.4</v>
      </c>
      <c r="M10" s="10">
        <f t="shared" si="0"/>
        <v>0.80645161290322576</v>
      </c>
    </row>
    <row r="11" spans="1:22" x14ac:dyDescent="0.25">
      <c r="A11" s="9" t="s">
        <v>209</v>
      </c>
      <c r="B11" s="5" t="s">
        <v>207</v>
      </c>
      <c r="C11" s="6"/>
      <c r="D11" s="6"/>
      <c r="E11" s="6">
        <v>9.8000000000000007</v>
      </c>
      <c r="F11" s="6">
        <v>13</v>
      </c>
      <c r="G11" s="10">
        <f t="shared" si="1"/>
        <v>1.3265306122448979</v>
      </c>
      <c r="L11" s="3">
        <v>12.2</v>
      </c>
      <c r="M11" s="10">
        <f t="shared" si="0"/>
        <v>0.80327868852459028</v>
      </c>
    </row>
    <row r="12" spans="1:22" x14ac:dyDescent="0.25">
      <c r="A12" s="9" t="s">
        <v>210</v>
      </c>
      <c r="B12" s="24" t="s">
        <v>206</v>
      </c>
      <c r="C12" s="25"/>
      <c r="D12" s="25"/>
      <c r="E12" s="26">
        <v>9.6999999999999993</v>
      </c>
      <c r="F12" s="25">
        <v>12.5</v>
      </c>
      <c r="G12" s="7">
        <f t="shared" si="1"/>
        <v>1.2886597938144331</v>
      </c>
      <c r="L12" s="3">
        <v>12.2</v>
      </c>
      <c r="M12" s="10">
        <f t="shared" si="0"/>
        <v>0.79508196721311475</v>
      </c>
    </row>
    <row r="13" spans="1:22" x14ac:dyDescent="0.25">
      <c r="A13" s="9" t="s">
        <v>210</v>
      </c>
      <c r="B13" s="5" t="s">
        <v>207</v>
      </c>
      <c r="C13" s="6"/>
      <c r="D13" s="6"/>
      <c r="E13" s="6">
        <v>9.5</v>
      </c>
      <c r="F13" s="6">
        <v>12.3</v>
      </c>
      <c r="G13" s="10">
        <f t="shared" si="1"/>
        <v>1.2947368421052632</v>
      </c>
      <c r="L13" s="3">
        <v>12</v>
      </c>
      <c r="M13" s="10">
        <f t="shared" si="0"/>
        <v>0.79166666666666663</v>
      </c>
    </row>
    <row r="14" spans="1:22" x14ac:dyDescent="0.25">
      <c r="B14" s="5"/>
      <c r="C14" s="6"/>
      <c r="D14" s="6"/>
      <c r="E14" s="6"/>
      <c r="F14" s="6"/>
      <c r="G14" s="10"/>
      <c r="M14" s="7">
        <f>AVERAGE(M6:M13)</f>
        <v>0.85056466230066319</v>
      </c>
    </row>
    <row r="15" spans="1:22" x14ac:dyDescent="0.25">
      <c r="B15" s="5"/>
      <c r="C15" s="6"/>
      <c r="D15" s="6"/>
      <c r="E15" s="6"/>
      <c r="F15" s="6"/>
      <c r="G15" s="10"/>
      <c r="Q15" s="3" t="s">
        <v>211</v>
      </c>
    </row>
    <row r="16" spans="1:22" ht="20" x14ac:dyDescent="0.4">
      <c r="A16" s="1" t="s">
        <v>212</v>
      </c>
      <c r="B16" s="2"/>
      <c r="K16" s="294">
        <f>((I9+I24)/2)</f>
        <v>1.3038438794792349</v>
      </c>
    </row>
    <row r="17" spans="1:10" ht="15.5" x14ac:dyDescent="0.35">
      <c r="A17" s="1" t="s">
        <v>213</v>
      </c>
    </row>
    <row r="19" spans="1:10" ht="15.5" x14ac:dyDescent="0.35">
      <c r="A19" s="4" t="s">
        <v>200</v>
      </c>
      <c r="B19" s="4" t="s">
        <v>201</v>
      </c>
      <c r="C19" s="4" t="s">
        <v>9</v>
      </c>
      <c r="D19" s="4" t="s">
        <v>81</v>
      </c>
      <c r="E19" s="4" t="s">
        <v>10</v>
      </c>
      <c r="F19" s="4" t="s">
        <v>12</v>
      </c>
      <c r="G19" s="4" t="s">
        <v>154</v>
      </c>
      <c r="H19" s="4"/>
      <c r="I19" s="4"/>
      <c r="J19" s="4"/>
    </row>
    <row r="20" spans="1:10" ht="13" x14ac:dyDescent="0.3">
      <c r="A20" s="3" t="s">
        <v>202</v>
      </c>
      <c r="B20" s="5" t="s">
        <v>203</v>
      </c>
      <c r="C20" s="6">
        <v>14</v>
      </c>
      <c r="D20" s="6">
        <v>14.3</v>
      </c>
      <c r="E20" s="6"/>
      <c r="F20" s="6"/>
      <c r="G20" s="14">
        <f>D20/C20</f>
        <v>1.0214285714285716</v>
      </c>
      <c r="H20" s="8" t="s">
        <v>204</v>
      </c>
    </row>
    <row r="21" spans="1:10" x14ac:dyDescent="0.25">
      <c r="A21" s="9" t="s">
        <v>205</v>
      </c>
      <c r="B21" s="24" t="s">
        <v>206</v>
      </c>
      <c r="C21" s="25"/>
      <c r="D21" s="25"/>
      <c r="E21" s="25">
        <v>11</v>
      </c>
      <c r="F21" s="25">
        <v>14.1</v>
      </c>
      <c r="G21" s="10">
        <f>+F21/E21</f>
        <v>1.2818181818181817</v>
      </c>
    </row>
    <row r="22" spans="1:10" x14ac:dyDescent="0.25">
      <c r="A22" s="9" t="s">
        <v>205</v>
      </c>
      <c r="B22" s="5" t="s">
        <v>207</v>
      </c>
      <c r="C22" s="6"/>
      <c r="D22" s="6"/>
      <c r="E22" s="6">
        <v>10.8</v>
      </c>
      <c r="F22" s="6">
        <v>13.9</v>
      </c>
      <c r="G22" s="10">
        <f t="shared" ref="G22:G26" si="2">+F22/E22</f>
        <v>1.287037037037037</v>
      </c>
    </row>
    <row r="23" spans="1:10" x14ac:dyDescent="0.25">
      <c r="A23" s="9" t="s">
        <v>208</v>
      </c>
      <c r="B23" s="24" t="s">
        <v>206</v>
      </c>
      <c r="C23" s="25"/>
      <c r="D23" s="25"/>
      <c r="E23" s="25">
        <v>10.3</v>
      </c>
      <c r="F23" s="25">
        <v>13.5</v>
      </c>
      <c r="G23" s="10">
        <f t="shared" si="2"/>
        <v>1.3106796116504853</v>
      </c>
    </row>
    <row r="24" spans="1:10" x14ac:dyDescent="0.25">
      <c r="A24" s="9" t="s">
        <v>208</v>
      </c>
      <c r="B24" s="5" t="s">
        <v>207</v>
      </c>
      <c r="C24" s="6"/>
      <c r="D24" s="6"/>
      <c r="E24" s="6">
        <v>10.4</v>
      </c>
      <c r="F24" s="6">
        <v>13.3</v>
      </c>
      <c r="G24" s="10">
        <f t="shared" si="2"/>
        <v>1.278846153846154</v>
      </c>
      <c r="I24" s="293">
        <f>AVERAGE(G21:G26)</f>
        <v>1.2994585171995598</v>
      </c>
    </row>
    <row r="25" spans="1:10" x14ac:dyDescent="0.25">
      <c r="A25" s="9" t="s">
        <v>209</v>
      </c>
      <c r="B25" s="24" t="s">
        <v>206</v>
      </c>
      <c r="C25" s="25"/>
      <c r="D25" s="25"/>
      <c r="E25" s="25">
        <v>9.5</v>
      </c>
      <c r="F25" s="25">
        <v>12.5</v>
      </c>
      <c r="G25" s="10">
        <f t="shared" si="2"/>
        <v>1.3157894736842106</v>
      </c>
    </row>
    <row r="26" spans="1:10" x14ac:dyDescent="0.25">
      <c r="A26" s="9" t="s">
        <v>209</v>
      </c>
      <c r="B26" s="5" t="s">
        <v>207</v>
      </c>
      <c r="C26" s="6"/>
      <c r="D26" s="6"/>
      <c r="E26" s="6">
        <v>9.3000000000000007</v>
      </c>
      <c r="F26" s="6">
        <v>12.3</v>
      </c>
      <c r="G26" s="10">
        <f t="shared" si="2"/>
        <v>1.3225806451612903</v>
      </c>
    </row>
    <row r="27" spans="1:10" x14ac:dyDescent="0.25">
      <c r="A27" s="9"/>
      <c r="B27" s="5"/>
      <c r="C27" s="6"/>
      <c r="D27" s="6"/>
      <c r="E27" s="6"/>
      <c r="F27" s="6">
        <v>10</v>
      </c>
      <c r="G27" s="10"/>
    </row>
    <row r="28" spans="1:10" ht="15.5" x14ac:dyDescent="0.35">
      <c r="A28" s="1" t="s">
        <v>212</v>
      </c>
      <c r="B28" s="5"/>
      <c r="C28" s="6"/>
      <c r="D28" s="6"/>
      <c r="E28" s="6"/>
      <c r="F28" s="6"/>
      <c r="G28" s="10"/>
    </row>
    <row r="29" spans="1:10" ht="15.5" x14ac:dyDescent="0.35">
      <c r="A29" s="4" t="s">
        <v>200</v>
      </c>
      <c r="B29" s="4" t="s">
        <v>201</v>
      </c>
      <c r="C29" s="4" t="s">
        <v>214</v>
      </c>
      <c r="D29" s="4" t="s">
        <v>215</v>
      </c>
      <c r="E29" s="4"/>
      <c r="F29" s="4"/>
      <c r="G29" s="4"/>
      <c r="H29" s="4"/>
    </row>
    <row r="30" spans="1:10" ht="15.5" x14ac:dyDescent="0.35">
      <c r="A30" s="4" t="s">
        <v>105</v>
      </c>
      <c r="B30" s="4"/>
      <c r="C30" s="4"/>
      <c r="D30" s="4"/>
      <c r="E30" s="4"/>
      <c r="F30" s="4"/>
      <c r="G30" s="4"/>
      <c r="H30" s="4"/>
    </row>
    <row r="31" spans="1:10" ht="15.5" x14ac:dyDescent="0.35">
      <c r="A31" s="3" t="s">
        <v>216</v>
      </c>
      <c r="B31" s="5" t="s">
        <v>203</v>
      </c>
      <c r="C31" s="6">
        <v>12.1</v>
      </c>
      <c r="D31" s="6">
        <v>13.814</v>
      </c>
      <c r="E31" s="6"/>
      <c r="F31" s="6"/>
      <c r="G31" s="4"/>
      <c r="H31" s="8"/>
    </row>
    <row r="32" spans="1:10" ht="15.5" x14ac:dyDescent="0.35">
      <c r="A32" s="3" t="s">
        <v>217</v>
      </c>
      <c r="B32" s="5"/>
      <c r="C32" s="10">
        <f>D31/C31</f>
        <v>1.1416528925619835</v>
      </c>
      <c r="D32" s="6"/>
      <c r="E32" s="6"/>
      <c r="G32" s="4"/>
    </row>
    <row r="33" spans="1:7" ht="15.5" x14ac:dyDescent="0.35">
      <c r="B33" s="5"/>
      <c r="D33" s="6"/>
      <c r="E33" s="6"/>
      <c r="F33" s="6"/>
      <c r="G33" s="4"/>
    </row>
    <row r="34" spans="1:7" x14ac:dyDescent="0.25">
      <c r="B34" s="5"/>
      <c r="C34" s="6"/>
      <c r="D34" s="6"/>
      <c r="E34" s="6"/>
      <c r="F34" s="6"/>
      <c r="G34" s="10"/>
    </row>
    <row r="35" spans="1:7" ht="14" x14ac:dyDescent="0.3">
      <c r="B35" s="5"/>
      <c r="C35" s="11"/>
      <c r="D35" s="6"/>
      <c r="E35" s="6"/>
      <c r="F35" s="6"/>
      <c r="G35" s="10"/>
    </row>
    <row r="36" spans="1:7" ht="14" x14ac:dyDescent="0.3">
      <c r="B36" s="5"/>
      <c r="C36" s="11"/>
      <c r="D36" s="6"/>
      <c r="E36" s="6"/>
      <c r="F36" s="6"/>
      <c r="G36" s="10"/>
    </row>
    <row r="37" spans="1:7" ht="14" x14ac:dyDescent="0.3">
      <c r="B37" s="5"/>
      <c r="C37" s="11"/>
      <c r="D37" s="6"/>
      <c r="E37" s="6"/>
      <c r="F37" s="6"/>
      <c r="G37" s="10"/>
    </row>
    <row r="38" spans="1:7" ht="14" x14ac:dyDescent="0.3">
      <c r="B38" s="5"/>
      <c r="C38" s="11"/>
      <c r="D38" s="6"/>
      <c r="E38" s="6"/>
      <c r="F38" s="6"/>
      <c r="G38" s="10"/>
    </row>
    <row r="39" spans="1:7" ht="14" x14ac:dyDescent="0.3">
      <c r="B39" s="5"/>
      <c r="C39" s="11"/>
      <c r="D39" s="6"/>
      <c r="E39" s="6"/>
      <c r="F39" s="6"/>
      <c r="G39" s="10"/>
    </row>
    <row r="40" spans="1:7" ht="14" x14ac:dyDescent="0.3">
      <c r="B40" s="5"/>
      <c r="C40" s="11"/>
      <c r="D40" s="6"/>
      <c r="E40" s="6"/>
      <c r="F40" s="6"/>
      <c r="G40" s="10"/>
    </row>
    <row r="41" spans="1:7" ht="14" x14ac:dyDescent="0.3">
      <c r="B41" s="5"/>
      <c r="C41" s="11"/>
      <c r="D41" s="6"/>
      <c r="E41" s="6"/>
      <c r="F41" s="6"/>
      <c r="G41" s="10"/>
    </row>
    <row r="42" spans="1:7" x14ac:dyDescent="0.25">
      <c r="B42" s="5"/>
      <c r="C42" s="6"/>
      <c r="D42" s="6"/>
      <c r="E42" s="6"/>
      <c r="F42" s="6"/>
      <c r="G42" s="10"/>
    </row>
    <row r="43" spans="1:7" x14ac:dyDescent="0.25">
      <c r="B43" s="5"/>
      <c r="C43" s="6"/>
      <c r="D43" s="6"/>
      <c r="E43" s="6"/>
      <c r="F43" s="6"/>
      <c r="G43" s="10"/>
    </row>
    <row r="44" spans="1:7" x14ac:dyDescent="0.25">
      <c r="A44" s="3" t="s">
        <v>9</v>
      </c>
      <c r="B44" s="5" t="s">
        <v>81</v>
      </c>
      <c r="C44" s="6" t="s">
        <v>218</v>
      </c>
      <c r="E44" s="6"/>
      <c r="F44" s="6"/>
      <c r="G44" s="10"/>
    </row>
    <row r="45" spans="1:7" x14ac:dyDescent="0.25">
      <c r="A45" s="5">
        <v>12</v>
      </c>
      <c r="B45" s="5">
        <v>11.5</v>
      </c>
      <c r="C45" s="12">
        <f>A45/B45</f>
        <v>1.0434782608695652</v>
      </c>
      <c r="E45" s="6"/>
      <c r="F45" s="6"/>
      <c r="G45" s="10"/>
    </row>
    <row r="46" spans="1:7" x14ac:dyDescent="0.25">
      <c r="A46" s="5">
        <v>13</v>
      </c>
      <c r="B46" s="5">
        <v>12.4</v>
      </c>
      <c r="C46" s="12">
        <f t="shared" ref="C46:C63" si="3">A46/B46</f>
        <v>1.0483870967741935</v>
      </c>
      <c r="E46" s="6"/>
      <c r="F46" s="6"/>
      <c r="G46" s="10"/>
    </row>
    <row r="47" spans="1:7" x14ac:dyDescent="0.25">
      <c r="A47" s="5">
        <v>14</v>
      </c>
      <c r="B47" s="5">
        <v>13.4</v>
      </c>
      <c r="C47" s="12">
        <f t="shared" si="3"/>
        <v>1.044776119402985</v>
      </c>
      <c r="E47" s="6"/>
      <c r="F47" s="6"/>
      <c r="G47" s="10"/>
    </row>
    <row r="48" spans="1:7" x14ac:dyDescent="0.25">
      <c r="A48" s="5">
        <v>15</v>
      </c>
      <c r="B48" s="5">
        <v>14.3</v>
      </c>
      <c r="C48" s="12">
        <f t="shared" si="3"/>
        <v>1.048951048951049</v>
      </c>
      <c r="E48" s="6"/>
      <c r="F48" s="6"/>
      <c r="G48" s="10"/>
    </row>
    <row r="49" spans="1:7" x14ac:dyDescent="0.25">
      <c r="A49" s="5">
        <v>16</v>
      </c>
      <c r="B49" s="5">
        <v>15.3</v>
      </c>
      <c r="C49" s="12">
        <f t="shared" si="3"/>
        <v>1.0457516339869282</v>
      </c>
      <c r="E49" s="6"/>
      <c r="F49" s="6"/>
      <c r="G49" s="10"/>
    </row>
    <row r="50" spans="1:7" x14ac:dyDescent="0.25">
      <c r="A50" s="5">
        <v>17</v>
      </c>
      <c r="B50" s="5">
        <v>16.2</v>
      </c>
      <c r="C50" s="12">
        <f t="shared" si="3"/>
        <v>1.0493827160493827</v>
      </c>
      <c r="E50" s="6"/>
      <c r="F50" s="6"/>
      <c r="G50" s="10"/>
    </row>
    <row r="51" spans="1:7" x14ac:dyDescent="0.25">
      <c r="A51" s="5">
        <v>18</v>
      </c>
      <c r="B51" s="5">
        <v>17.2</v>
      </c>
      <c r="C51" s="12">
        <f t="shared" si="3"/>
        <v>1.0465116279069768</v>
      </c>
      <c r="E51" s="6"/>
      <c r="F51" s="6"/>
      <c r="G51" s="10"/>
    </row>
    <row r="52" spans="1:7" x14ac:dyDescent="0.25">
      <c r="A52" s="5">
        <v>19</v>
      </c>
      <c r="B52" s="5">
        <v>18.100000000000001</v>
      </c>
      <c r="C52" s="12">
        <f t="shared" si="3"/>
        <v>1.0497237569060773</v>
      </c>
      <c r="E52" s="6"/>
      <c r="F52" s="6"/>
      <c r="G52" s="10"/>
    </row>
    <row r="53" spans="1:7" x14ac:dyDescent="0.25">
      <c r="A53" s="5">
        <v>20</v>
      </c>
      <c r="B53" s="5">
        <v>19.100000000000001</v>
      </c>
      <c r="C53" s="12">
        <f t="shared" si="3"/>
        <v>1.0471204188481675</v>
      </c>
      <c r="E53" s="6"/>
      <c r="F53" s="6"/>
    </row>
    <row r="54" spans="1:7" x14ac:dyDescent="0.25">
      <c r="A54" s="5">
        <v>21</v>
      </c>
      <c r="B54" s="5">
        <v>20.100000000000001</v>
      </c>
      <c r="C54" s="12">
        <f t="shared" si="3"/>
        <v>1.044776119402985</v>
      </c>
      <c r="E54" s="6"/>
      <c r="F54" s="6"/>
    </row>
    <row r="55" spans="1:7" x14ac:dyDescent="0.25">
      <c r="A55" s="5">
        <v>22</v>
      </c>
      <c r="B55" s="5">
        <v>21</v>
      </c>
      <c r="C55" s="12">
        <f t="shared" si="3"/>
        <v>1.0476190476190477</v>
      </c>
      <c r="E55" s="6"/>
      <c r="F55" s="6"/>
    </row>
    <row r="56" spans="1:7" x14ac:dyDescent="0.25">
      <c r="A56" s="5">
        <v>23</v>
      </c>
      <c r="B56" s="5">
        <v>22</v>
      </c>
      <c r="C56" s="12">
        <f t="shared" si="3"/>
        <v>1.0454545454545454</v>
      </c>
    </row>
    <row r="57" spans="1:7" x14ac:dyDescent="0.25">
      <c r="A57" s="5">
        <v>24</v>
      </c>
      <c r="B57" s="5">
        <v>22.9</v>
      </c>
      <c r="C57" s="12">
        <f t="shared" si="3"/>
        <v>1.0480349344978166</v>
      </c>
    </row>
    <row r="58" spans="1:7" x14ac:dyDescent="0.25">
      <c r="A58" s="5">
        <v>25</v>
      </c>
      <c r="B58" s="5">
        <v>23.9</v>
      </c>
      <c r="C58" s="12">
        <f t="shared" si="3"/>
        <v>1.0460251046025104</v>
      </c>
    </row>
    <row r="59" spans="1:7" x14ac:dyDescent="0.25">
      <c r="A59" s="5">
        <v>26</v>
      </c>
      <c r="B59" s="5">
        <v>24.8</v>
      </c>
      <c r="C59" s="12">
        <f t="shared" si="3"/>
        <v>1.0483870967741935</v>
      </c>
    </row>
    <row r="60" spans="1:7" x14ac:dyDescent="0.25">
      <c r="A60" s="5">
        <v>27</v>
      </c>
      <c r="B60" s="5">
        <v>25.8</v>
      </c>
      <c r="C60" s="12">
        <f t="shared" si="3"/>
        <v>1.0465116279069766</v>
      </c>
    </row>
    <row r="61" spans="1:7" x14ac:dyDescent="0.25">
      <c r="A61" s="5">
        <v>28</v>
      </c>
      <c r="B61" s="5">
        <v>26.7</v>
      </c>
      <c r="C61" s="12">
        <f t="shared" si="3"/>
        <v>1.0486891385767791</v>
      </c>
    </row>
    <row r="62" spans="1:7" x14ac:dyDescent="0.25">
      <c r="A62" s="5">
        <v>29</v>
      </c>
      <c r="B62" s="5">
        <v>27.7</v>
      </c>
      <c r="C62" s="12">
        <f t="shared" si="3"/>
        <v>1.0469314079422383</v>
      </c>
    </row>
    <row r="63" spans="1:7" x14ac:dyDescent="0.25">
      <c r="A63" s="5">
        <v>30</v>
      </c>
      <c r="B63" s="5">
        <v>28.7</v>
      </c>
      <c r="C63" s="12">
        <f t="shared" si="3"/>
        <v>1.0452961672473868</v>
      </c>
    </row>
    <row r="64" spans="1:7" ht="13" x14ac:dyDescent="0.3">
      <c r="B64" s="5"/>
      <c r="C64" s="13">
        <f>AVERAGE(C45:C63)</f>
        <v>1.0469372563010424</v>
      </c>
      <c r="D64" s="3">
        <f>1/C64</f>
        <v>0.95516707804737266</v>
      </c>
    </row>
    <row r="66" spans="1:3" x14ac:dyDescent="0.25">
      <c r="A66" s="3" t="s">
        <v>10</v>
      </c>
      <c r="B66" s="3" t="s">
        <v>87</v>
      </c>
    </row>
    <row r="67" spans="1:3" x14ac:dyDescent="0.25">
      <c r="A67" s="5">
        <v>6</v>
      </c>
      <c r="B67" s="5">
        <v>5.8</v>
      </c>
      <c r="C67" s="12">
        <f>A67/B67</f>
        <v>1.0344827586206897</v>
      </c>
    </row>
    <row r="68" spans="1:3" x14ac:dyDescent="0.25">
      <c r="A68" s="5">
        <v>7</v>
      </c>
      <c r="B68" s="5">
        <v>6.7</v>
      </c>
      <c r="C68" s="12">
        <f t="shared" ref="C68:C81" si="4">A68/B68</f>
        <v>1.044776119402985</v>
      </c>
    </row>
    <row r="69" spans="1:3" x14ac:dyDescent="0.25">
      <c r="A69" s="5">
        <v>8</v>
      </c>
      <c r="B69" s="5">
        <v>7.7</v>
      </c>
      <c r="C69" s="12">
        <f t="shared" si="4"/>
        <v>1.0389610389610389</v>
      </c>
    </row>
    <row r="70" spans="1:3" x14ac:dyDescent="0.25">
      <c r="A70" s="5">
        <v>9</v>
      </c>
      <c r="B70" s="5">
        <v>8.6</v>
      </c>
      <c r="C70" s="12">
        <f t="shared" si="4"/>
        <v>1.0465116279069768</v>
      </c>
    </row>
    <row r="71" spans="1:3" x14ac:dyDescent="0.25">
      <c r="A71" s="5">
        <v>10</v>
      </c>
      <c r="B71" s="5">
        <v>9.6</v>
      </c>
      <c r="C71" s="12">
        <f t="shared" si="4"/>
        <v>1.0416666666666667</v>
      </c>
    </row>
    <row r="72" spans="1:3" x14ac:dyDescent="0.25">
      <c r="A72" s="5">
        <v>11</v>
      </c>
      <c r="B72" s="5">
        <v>10.5</v>
      </c>
      <c r="C72" s="12">
        <f t="shared" si="4"/>
        <v>1.0476190476190477</v>
      </c>
    </row>
    <row r="73" spans="1:3" x14ac:dyDescent="0.25">
      <c r="A73" s="5">
        <v>12</v>
      </c>
      <c r="B73" s="5">
        <v>11.5</v>
      </c>
      <c r="C73" s="12">
        <f t="shared" si="4"/>
        <v>1.0434782608695652</v>
      </c>
    </row>
    <row r="74" spans="1:3" x14ac:dyDescent="0.25">
      <c r="A74" s="5">
        <v>13</v>
      </c>
      <c r="B74" s="5">
        <v>12.5</v>
      </c>
      <c r="C74" s="12">
        <f t="shared" si="4"/>
        <v>1.04</v>
      </c>
    </row>
    <row r="75" spans="1:3" x14ac:dyDescent="0.25">
      <c r="A75" s="5">
        <v>14</v>
      </c>
      <c r="B75" s="5">
        <v>13.4</v>
      </c>
      <c r="C75" s="12">
        <f t="shared" si="4"/>
        <v>1.044776119402985</v>
      </c>
    </row>
    <row r="76" spans="1:3" x14ac:dyDescent="0.25">
      <c r="A76" s="5">
        <v>15</v>
      </c>
      <c r="B76" s="5">
        <v>14.4</v>
      </c>
      <c r="C76" s="12">
        <f t="shared" si="4"/>
        <v>1.0416666666666667</v>
      </c>
    </row>
    <row r="77" spans="1:3" x14ac:dyDescent="0.25">
      <c r="A77" s="5">
        <v>16</v>
      </c>
      <c r="B77" s="5">
        <v>15.3</v>
      </c>
      <c r="C77" s="12">
        <f t="shared" si="4"/>
        <v>1.0457516339869282</v>
      </c>
    </row>
    <row r="78" spans="1:3" x14ac:dyDescent="0.25">
      <c r="A78" s="5">
        <v>17</v>
      </c>
      <c r="B78" s="5">
        <v>16.3</v>
      </c>
      <c r="C78" s="12">
        <f t="shared" si="4"/>
        <v>1.0429447852760736</v>
      </c>
    </row>
    <row r="79" spans="1:3" x14ac:dyDescent="0.25">
      <c r="A79" s="5">
        <v>18</v>
      </c>
      <c r="B79" s="5">
        <v>17.3</v>
      </c>
      <c r="C79" s="12">
        <f t="shared" si="4"/>
        <v>1.0404624277456647</v>
      </c>
    </row>
    <row r="80" spans="1:3" x14ac:dyDescent="0.25">
      <c r="A80" s="5">
        <v>19</v>
      </c>
      <c r="B80" s="5">
        <v>18.2</v>
      </c>
      <c r="C80" s="12">
        <f t="shared" si="4"/>
        <v>1.043956043956044</v>
      </c>
    </row>
    <row r="81" spans="1:4" x14ac:dyDescent="0.25">
      <c r="A81" s="5">
        <v>20</v>
      </c>
      <c r="B81" s="5">
        <v>19.2</v>
      </c>
      <c r="C81" s="12">
        <f t="shared" si="4"/>
        <v>1.0416666666666667</v>
      </c>
    </row>
    <row r="82" spans="1:4" ht="13" x14ac:dyDescent="0.3">
      <c r="A82" s="5"/>
      <c r="B82" s="5"/>
      <c r="C82" s="13">
        <f>AVERAGE(C67:C81)</f>
        <v>1.0425813242498667</v>
      </c>
      <c r="D82" s="3">
        <f>1/C82</f>
        <v>0.9591577910907777</v>
      </c>
    </row>
    <row r="83" spans="1:4" x14ac:dyDescent="0.25">
      <c r="A83" s="5"/>
      <c r="B83" s="5"/>
      <c r="C83" s="12"/>
    </row>
    <row r="84" spans="1:4" x14ac:dyDescent="0.25">
      <c r="A84" s="5"/>
      <c r="B84" s="5"/>
      <c r="C84" s="12"/>
    </row>
    <row r="85" spans="1:4" x14ac:dyDescent="0.25">
      <c r="A85" s="5"/>
      <c r="B85" s="5"/>
      <c r="C85" s="12"/>
    </row>
    <row r="104" spans="2:2" x14ac:dyDescent="0.25">
      <c r="B104" s="16" t="s">
        <v>219</v>
      </c>
    </row>
  </sheetData>
  <sheetProtection algorithmName="SHA-512" hashValue="r4lUozG+EcHYB3Cnu43UU3Wlf5yF8zVbcCNcufTtWIziLBaZ293hIq0Xk4qfwM410NyCQI/m/FMYP3PzTIRszA==" saltValue="p8Rso2aER/9MBNQ3gmD1Ww==" spinCount="100000" sheet="1" objects="1" scenarios="1"/>
  <hyperlinks>
    <hyperlink ref="B104" r:id="rId1" xr:uid="{B063E278-2154-4D74-91B7-9E401E4931B3}"/>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1662-2E49-49DC-81DD-ECE6A5CF507A}">
  <dimension ref="A8:X44"/>
  <sheetViews>
    <sheetView topLeftCell="Z3" zoomScale="70" zoomScaleNormal="70" workbookViewId="0">
      <selection activeCell="AQ41" sqref="AQ41"/>
    </sheetView>
  </sheetViews>
  <sheetFormatPr defaultColWidth="9.1796875" defaultRowHeight="14.5" x14ac:dyDescent="0.35"/>
  <cols>
    <col min="1" max="1" width="9.1796875" style="190" hidden="1" customWidth="1"/>
    <col min="2" max="2" width="12.26953125" style="190" hidden="1" customWidth="1"/>
    <col min="3" max="3" width="53.81640625" style="190" hidden="1" customWidth="1"/>
    <col min="4" max="4" width="49.7265625" style="190" hidden="1" customWidth="1"/>
    <col min="5" max="5" width="31.54296875" style="190" hidden="1" customWidth="1"/>
    <col min="6" max="6" width="19.54296875" style="190" hidden="1" customWidth="1"/>
    <col min="7" max="7" width="14.26953125" style="190" hidden="1" customWidth="1"/>
    <col min="8" max="8" width="14.1796875" style="190" hidden="1" customWidth="1"/>
    <col min="9" max="9" width="11" style="190" hidden="1" customWidth="1"/>
    <col min="10" max="10" width="12.26953125" style="190" hidden="1" customWidth="1"/>
    <col min="11" max="12" width="11" style="190" hidden="1" customWidth="1"/>
    <col min="13" max="13" width="12.54296875" style="190" hidden="1" customWidth="1"/>
    <col min="14" max="14" width="14.26953125" style="190" hidden="1" customWidth="1"/>
    <col min="15" max="15" width="13.7265625" style="190" hidden="1" customWidth="1"/>
    <col min="16" max="16" width="19.453125" style="190" hidden="1" customWidth="1"/>
    <col min="17" max="18" width="14.26953125" style="190" hidden="1" customWidth="1"/>
    <col min="19" max="20" width="12.54296875" style="190" hidden="1" customWidth="1"/>
    <col min="21" max="21" width="10.81640625" style="190" hidden="1" customWidth="1"/>
    <col min="22" max="22" width="9.7265625" style="190" hidden="1" customWidth="1"/>
    <col min="23" max="23" width="14" style="190" hidden="1" customWidth="1"/>
    <col min="24" max="24" width="13" style="190" hidden="1" customWidth="1"/>
    <col min="25" max="25" width="0" style="190" hidden="1" customWidth="1"/>
    <col min="26" max="16384" width="9.1796875" style="190"/>
  </cols>
  <sheetData>
    <row r="8" spans="2:24" x14ac:dyDescent="0.35">
      <c r="H8" s="191" t="s">
        <v>220</v>
      </c>
      <c r="I8" s="191" t="s">
        <v>220</v>
      </c>
      <c r="K8" s="191" t="s">
        <v>221</v>
      </c>
    </row>
    <row r="9" spans="2:24" x14ac:dyDescent="0.35">
      <c r="B9" s="295" t="s">
        <v>222</v>
      </c>
      <c r="C9" s="295"/>
      <c r="D9" s="295"/>
      <c r="E9" s="295"/>
      <c r="F9" s="295" t="s">
        <v>223</v>
      </c>
      <c r="G9" s="296"/>
      <c r="H9" s="297"/>
      <c r="I9" s="297"/>
      <c r="J9" s="295"/>
      <c r="K9" s="297"/>
      <c r="L9" s="296"/>
      <c r="M9" s="295"/>
      <c r="N9" s="295"/>
      <c r="O9" s="298"/>
      <c r="P9" s="299"/>
      <c r="Q9" s="299"/>
      <c r="R9" s="299"/>
      <c r="S9" s="295"/>
      <c r="T9" s="295"/>
      <c r="U9" s="295"/>
      <c r="V9" s="295"/>
      <c r="W9" s="295"/>
      <c r="X9" s="295"/>
    </row>
    <row r="10" spans="2:24" ht="43.5" customHeight="1" x14ac:dyDescent="0.35">
      <c r="B10" s="300" t="s">
        <v>224</v>
      </c>
      <c r="C10" s="300" t="s">
        <v>225</v>
      </c>
      <c r="D10" s="300" t="s">
        <v>226</v>
      </c>
      <c r="E10" s="300" t="s">
        <v>227</v>
      </c>
      <c r="F10" s="300" t="s">
        <v>228</v>
      </c>
      <c r="G10" s="301" t="s">
        <v>229</v>
      </c>
      <c r="H10" s="302" t="s">
        <v>230</v>
      </c>
      <c r="I10" s="302" t="s">
        <v>231</v>
      </c>
      <c r="J10" s="300" t="s">
        <v>232</v>
      </c>
      <c r="K10" s="302" t="s">
        <v>233</v>
      </c>
      <c r="L10" s="303" t="s">
        <v>234</v>
      </c>
      <c r="M10" s="300" t="s">
        <v>235</v>
      </c>
      <c r="N10" s="300" t="s">
        <v>236</v>
      </c>
      <c r="O10" s="304" t="s">
        <v>237</v>
      </c>
      <c r="P10" s="305" t="s">
        <v>238</v>
      </c>
      <c r="Q10" s="305" t="s">
        <v>239</v>
      </c>
      <c r="R10" s="305" t="s">
        <v>240</v>
      </c>
      <c r="S10" s="300" t="s">
        <v>241</v>
      </c>
      <c r="T10" s="300" t="s">
        <v>242</v>
      </c>
      <c r="U10" s="300" t="s">
        <v>243</v>
      </c>
      <c r="V10" s="300" t="s">
        <v>244</v>
      </c>
      <c r="W10" s="300" t="s">
        <v>245</v>
      </c>
      <c r="X10" s="300" t="s">
        <v>246</v>
      </c>
    </row>
    <row r="11" spans="2:24" x14ac:dyDescent="0.35">
      <c r="B11" s="295"/>
      <c r="C11" s="295"/>
      <c r="D11" s="295"/>
      <c r="E11" s="295"/>
      <c r="F11" s="295"/>
      <c r="G11" s="296"/>
      <c r="H11" s="296"/>
      <c r="I11" s="297"/>
      <c r="J11" s="295"/>
      <c r="K11" s="297"/>
      <c r="L11" s="296"/>
      <c r="M11" s="295"/>
      <c r="N11" s="295"/>
      <c r="O11" s="298"/>
      <c r="P11" s="299"/>
      <c r="Q11" s="299"/>
      <c r="R11" s="299"/>
      <c r="S11" s="295"/>
      <c r="T11" s="295"/>
      <c r="U11" s="295"/>
      <c r="V11" s="295"/>
      <c r="W11" s="295"/>
      <c r="X11" s="295"/>
    </row>
    <row r="12" spans="2:24" x14ac:dyDescent="0.35">
      <c r="B12" s="295" t="s">
        <v>247</v>
      </c>
      <c r="C12" s="306" t="s">
        <v>248</v>
      </c>
      <c r="D12" s="295" t="s">
        <v>249</v>
      </c>
      <c r="E12" s="295">
        <v>64.989999999999995</v>
      </c>
      <c r="F12" s="307">
        <v>1.07</v>
      </c>
      <c r="G12" s="299">
        <v>13.814</v>
      </c>
      <c r="H12" s="308">
        <f>G12*N12</f>
        <v>14.463258</v>
      </c>
      <c r="I12" s="309">
        <f>G12/O12</f>
        <v>12.096322241681262</v>
      </c>
      <c r="J12" s="299">
        <v>99999</v>
      </c>
      <c r="K12" s="297">
        <v>99999</v>
      </c>
      <c r="L12" s="299">
        <v>99999</v>
      </c>
      <c r="M12" s="295">
        <v>65</v>
      </c>
      <c r="N12" s="310">
        <v>1.0469999999999999</v>
      </c>
      <c r="O12" s="311">
        <v>1.1419999999999999</v>
      </c>
      <c r="P12" s="299">
        <v>99999</v>
      </c>
      <c r="Q12" s="299">
        <v>99999</v>
      </c>
      <c r="R12" s="299">
        <v>99999</v>
      </c>
      <c r="S12" s="295">
        <v>0.88900000000000001</v>
      </c>
      <c r="T12" s="295">
        <v>0.875</v>
      </c>
      <c r="U12" s="295">
        <v>1</v>
      </c>
      <c r="V12" s="295">
        <v>0</v>
      </c>
      <c r="W12" s="295">
        <v>6201.51</v>
      </c>
      <c r="X12" s="310">
        <v>200</v>
      </c>
    </row>
    <row r="13" spans="2:24" x14ac:dyDescent="0.35">
      <c r="B13" s="295" t="s">
        <v>247</v>
      </c>
      <c r="C13" s="295" t="s">
        <v>248</v>
      </c>
      <c r="D13" s="295" t="s">
        <v>249</v>
      </c>
      <c r="E13" s="295">
        <v>65</v>
      </c>
      <c r="F13" s="307">
        <v>1.07</v>
      </c>
      <c r="G13" s="299">
        <v>99999</v>
      </c>
      <c r="H13" s="312">
        <v>99999</v>
      </c>
      <c r="I13" s="308">
        <f>J13/Q13</f>
        <v>10.740172579098754</v>
      </c>
      <c r="J13" s="313">
        <v>11.202</v>
      </c>
      <c r="K13" s="314">
        <f>L13/R13</f>
        <v>14.8</v>
      </c>
      <c r="L13" s="315">
        <v>14.8</v>
      </c>
      <c r="M13" s="295">
        <v>65</v>
      </c>
      <c r="N13" s="295">
        <v>99999</v>
      </c>
      <c r="O13" s="298">
        <v>99999</v>
      </c>
      <c r="P13" s="299">
        <v>65</v>
      </c>
      <c r="Q13" s="299">
        <v>1.0429999999999999</v>
      </c>
      <c r="R13" s="299">
        <v>1</v>
      </c>
      <c r="S13" s="295">
        <v>0.88900000000000001</v>
      </c>
      <c r="T13" s="295">
        <v>0.875</v>
      </c>
      <c r="U13" s="295">
        <v>1</v>
      </c>
      <c r="V13" s="295">
        <v>0</v>
      </c>
      <c r="W13" s="295">
        <v>6201.51</v>
      </c>
      <c r="X13" s="310">
        <v>400</v>
      </c>
    </row>
    <row r="14" spans="2:24" x14ac:dyDescent="0.35">
      <c r="B14" s="295" t="s">
        <v>247</v>
      </c>
      <c r="C14" s="295" t="s">
        <v>248</v>
      </c>
      <c r="D14" s="295" t="s">
        <v>249</v>
      </c>
      <c r="E14" s="295">
        <v>135</v>
      </c>
      <c r="F14" s="307">
        <v>1.07</v>
      </c>
      <c r="G14" s="299">
        <v>99999</v>
      </c>
      <c r="H14" s="312">
        <v>99999</v>
      </c>
      <c r="I14" s="308">
        <f>J14/Q14</f>
        <v>10.548418024928093</v>
      </c>
      <c r="J14" s="313">
        <v>11.002000000000001</v>
      </c>
      <c r="K14" s="314">
        <f>L14/R14</f>
        <v>14.2</v>
      </c>
      <c r="L14" s="315">
        <v>14.2</v>
      </c>
      <c r="M14" s="295">
        <v>65</v>
      </c>
      <c r="N14" s="295">
        <v>99999</v>
      </c>
      <c r="O14" s="298">
        <v>99999</v>
      </c>
      <c r="P14" s="299">
        <v>135</v>
      </c>
      <c r="Q14" s="299">
        <v>1.0429999999999999</v>
      </c>
      <c r="R14" s="299">
        <v>1</v>
      </c>
      <c r="S14" s="295">
        <v>0.88900000000000001</v>
      </c>
      <c r="T14" s="295">
        <v>0.875</v>
      </c>
      <c r="U14" s="295">
        <v>1</v>
      </c>
      <c r="V14" s="295">
        <v>0</v>
      </c>
      <c r="W14" s="295">
        <v>6201.51</v>
      </c>
      <c r="X14" s="310">
        <v>800</v>
      </c>
    </row>
    <row r="15" spans="2:24" x14ac:dyDescent="0.35">
      <c r="B15" s="295" t="s">
        <v>247</v>
      </c>
      <c r="C15" s="295" t="s">
        <v>248</v>
      </c>
      <c r="D15" s="295" t="s">
        <v>249</v>
      </c>
      <c r="E15" s="295">
        <v>240</v>
      </c>
      <c r="F15" s="307">
        <v>1.07</v>
      </c>
      <c r="G15" s="299">
        <v>99999</v>
      </c>
      <c r="H15" s="312">
        <v>99999</v>
      </c>
      <c r="I15" s="308">
        <f>J15/Q15</f>
        <v>9.5896452540747852</v>
      </c>
      <c r="J15" s="313">
        <v>10.002000000000001</v>
      </c>
      <c r="K15" s="314">
        <f>L15/R15</f>
        <v>13.2</v>
      </c>
      <c r="L15" s="315">
        <v>13.2</v>
      </c>
      <c r="M15" s="295">
        <v>65</v>
      </c>
      <c r="N15" s="295">
        <v>99999</v>
      </c>
      <c r="O15" s="298">
        <v>99999</v>
      </c>
      <c r="P15" s="299">
        <v>240</v>
      </c>
      <c r="Q15" s="299">
        <v>1.0429999999999999</v>
      </c>
      <c r="R15" s="299">
        <v>1</v>
      </c>
      <c r="S15" s="295">
        <v>0.88900000000000001</v>
      </c>
      <c r="T15" s="295">
        <v>0.875</v>
      </c>
      <c r="U15" s="295">
        <v>1</v>
      </c>
      <c r="V15" s="295">
        <v>0</v>
      </c>
      <c r="W15" s="295">
        <v>6201.51</v>
      </c>
      <c r="X15" s="310">
        <v>820</v>
      </c>
    </row>
    <row r="16" spans="2:24" x14ac:dyDescent="0.35">
      <c r="B16" s="295" t="s">
        <v>247</v>
      </c>
      <c r="C16" s="295" t="s">
        <v>248</v>
      </c>
      <c r="D16" s="295" t="s">
        <v>249</v>
      </c>
      <c r="E16" s="295">
        <v>760</v>
      </c>
      <c r="F16" s="307">
        <v>1.07</v>
      </c>
      <c r="G16" s="299">
        <v>99999</v>
      </c>
      <c r="H16" s="312">
        <v>99999</v>
      </c>
      <c r="I16" s="308">
        <f>J16/Q16</f>
        <v>9.3020134228187921</v>
      </c>
      <c r="J16" s="313">
        <v>9.702</v>
      </c>
      <c r="K16" s="314">
        <f>L16/R16</f>
        <v>12.5</v>
      </c>
      <c r="L16" s="315">
        <v>12.5</v>
      </c>
      <c r="M16" s="295">
        <v>65</v>
      </c>
      <c r="N16" s="295">
        <v>99999</v>
      </c>
      <c r="O16" s="298">
        <v>99999</v>
      </c>
      <c r="P16" s="299">
        <v>760</v>
      </c>
      <c r="Q16" s="299">
        <v>1.0429999999999999</v>
      </c>
      <c r="R16" s="299">
        <v>1</v>
      </c>
      <c r="S16" s="295">
        <v>0.88900000000000001</v>
      </c>
      <c r="T16" s="295">
        <v>0.875</v>
      </c>
      <c r="U16" s="295">
        <v>1</v>
      </c>
      <c r="V16" s="295">
        <v>0</v>
      </c>
      <c r="W16" s="295">
        <v>6201.51</v>
      </c>
      <c r="X16" s="310">
        <v>820</v>
      </c>
    </row>
    <row r="17" spans="2:24" x14ac:dyDescent="0.35">
      <c r="B17" s="295" t="s">
        <v>247</v>
      </c>
      <c r="C17" s="295" t="s">
        <v>248</v>
      </c>
      <c r="D17" s="295" t="s">
        <v>250</v>
      </c>
      <c r="E17" s="295">
        <v>64.989999999999995</v>
      </c>
      <c r="F17" s="307">
        <v>1.07</v>
      </c>
      <c r="G17" s="299">
        <v>13.814</v>
      </c>
      <c r="H17" s="308">
        <f>G17*N17</f>
        <v>14.463258</v>
      </c>
      <c r="I17" s="309">
        <f>G17/O17</f>
        <v>12.096322241681262</v>
      </c>
      <c r="J17" s="299">
        <v>99999</v>
      </c>
      <c r="K17" s="297">
        <v>99999</v>
      </c>
      <c r="L17" s="299">
        <v>99999</v>
      </c>
      <c r="M17" s="295">
        <v>65</v>
      </c>
      <c r="N17" s="310">
        <v>1.0469999999999999</v>
      </c>
      <c r="O17" s="311">
        <v>1.1419999999999999</v>
      </c>
      <c r="P17" s="299">
        <v>99999</v>
      </c>
      <c r="Q17" s="299">
        <v>99999</v>
      </c>
      <c r="R17" s="299">
        <v>99999</v>
      </c>
      <c r="S17" s="295">
        <v>0.88900000000000001</v>
      </c>
      <c r="T17" s="295">
        <v>0.875</v>
      </c>
      <c r="U17" s="295">
        <v>1</v>
      </c>
      <c r="V17" s="295">
        <v>0.54930000000000001</v>
      </c>
      <c r="W17" s="295">
        <v>6201.51</v>
      </c>
      <c r="X17" s="310">
        <v>200</v>
      </c>
    </row>
    <row r="18" spans="2:24" x14ac:dyDescent="0.35">
      <c r="B18" s="295" t="s">
        <v>247</v>
      </c>
      <c r="C18" s="295" t="s">
        <v>248</v>
      </c>
      <c r="D18" s="295" t="s">
        <v>250</v>
      </c>
      <c r="E18" s="295">
        <v>65</v>
      </c>
      <c r="F18" s="307">
        <v>1.07</v>
      </c>
      <c r="G18" s="299">
        <v>99999</v>
      </c>
      <c r="H18" s="312">
        <v>99999</v>
      </c>
      <c r="I18" s="308">
        <f>J18/Q18</f>
        <v>10.740172579098754</v>
      </c>
      <c r="J18" s="313">
        <v>11.202</v>
      </c>
      <c r="K18" s="314">
        <f>L18/R18</f>
        <v>14.8</v>
      </c>
      <c r="L18" s="315">
        <v>14.8</v>
      </c>
      <c r="M18" s="295">
        <v>65</v>
      </c>
      <c r="N18" s="295">
        <v>99999</v>
      </c>
      <c r="O18" s="298">
        <v>99999</v>
      </c>
      <c r="P18" s="299">
        <v>65</v>
      </c>
      <c r="Q18" s="299">
        <v>1.0429999999999999</v>
      </c>
      <c r="R18" s="299">
        <v>1</v>
      </c>
      <c r="S18" s="295">
        <v>0.88900000000000001</v>
      </c>
      <c r="T18" s="295">
        <v>0.875</v>
      </c>
      <c r="U18" s="295">
        <v>1</v>
      </c>
      <c r="V18" s="295">
        <v>0.54930000000000001</v>
      </c>
      <c r="W18" s="295">
        <v>6201.51</v>
      </c>
      <c r="X18" s="310">
        <v>400</v>
      </c>
    </row>
    <row r="19" spans="2:24" x14ac:dyDescent="0.35">
      <c r="B19" s="295" t="s">
        <v>247</v>
      </c>
      <c r="C19" s="295" t="s">
        <v>248</v>
      </c>
      <c r="D19" s="295" t="s">
        <v>250</v>
      </c>
      <c r="E19" s="295">
        <v>135</v>
      </c>
      <c r="F19" s="307">
        <v>1.07</v>
      </c>
      <c r="G19" s="299">
        <v>99999</v>
      </c>
      <c r="H19" s="312">
        <v>99999</v>
      </c>
      <c r="I19" s="308">
        <f>J19/Q19</f>
        <v>10.548418024928093</v>
      </c>
      <c r="J19" s="313">
        <v>11.002000000000001</v>
      </c>
      <c r="K19" s="314">
        <f>L19/R19</f>
        <v>14.2</v>
      </c>
      <c r="L19" s="315">
        <v>14.2</v>
      </c>
      <c r="M19" s="295">
        <v>65</v>
      </c>
      <c r="N19" s="295">
        <v>99999</v>
      </c>
      <c r="O19" s="298">
        <v>99999</v>
      </c>
      <c r="P19" s="299">
        <v>135</v>
      </c>
      <c r="Q19" s="299">
        <v>1.0429999999999999</v>
      </c>
      <c r="R19" s="299">
        <v>1</v>
      </c>
      <c r="S19" s="295">
        <v>0.88900000000000001</v>
      </c>
      <c r="T19" s="295">
        <v>0.875</v>
      </c>
      <c r="U19" s="295">
        <v>1</v>
      </c>
      <c r="V19" s="295">
        <v>0.54930000000000001</v>
      </c>
      <c r="W19" s="295">
        <v>6201.51</v>
      </c>
      <c r="X19" s="310">
        <v>800</v>
      </c>
    </row>
    <row r="20" spans="2:24" x14ac:dyDescent="0.35">
      <c r="B20" s="295" t="s">
        <v>247</v>
      </c>
      <c r="C20" s="295" t="s">
        <v>248</v>
      </c>
      <c r="D20" s="295" t="s">
        <v>250</v>
      </c>
      <c r="E20" s="295">
        <v>240</v>
      </c>
      <c r="F20" s="307">
        <v>1.07</v>
      </c>
      <c r="G20" s="299">
        <v>99999</v>
      </c>
      <c r="H20" s="312">
        <v>99999</v>
      </c>
      <c r="I20" s="308">
        <f>J20/Q20</f>
        <v>9.5896452540747852</v>
      </c>
      <c r="J20" s="313">
        <v>10.002000000000001</v>
      </c>
      <c r="K20" s="314">
        <f>L20/R20</f>
        <v>13.2</v>
      </c>
      <c r="L20" s="315">
        <v>13.2</v>
      </c>
      <c r="M20" s="295">
        <v>65</v>
      </c>
      <c r="N20" s="295">
        <v>99999</v>
      </c>
      <c r="O20" s="298">
        <v>99999</v>
      </c>
      <c r="P20" s="299">
        <v>240</v>
      </c>
      <c r="Q20" s="299">
        <v>1.0429999999999999</v>
      </c>
      <c r="R20" s="299">
        <v>1</v>
      </c>
      <c r="S20" s="295">
        <v>0.88900000000000001</v>
      </c>
      <c r="T20" s="295">
        <v>0.875</v>
      </c>
      <c r="U20" s="295">
        <v>1</v>
      </c>
      <c r="V20" s="295">
        <v>0.54930000000000001</v>
      </c>
      <c r="W20" s="295">
        <v>6201.51</v>
      </c>
      <c r="X20" s="310">
        <v>820</v>
      </c>
    </row>
    <row r="21" spans="2:24" x14ac:dyDescent="0.35">
      <c r="B21" s="295" t="s">
        <v>247</v>
      </c>
      <c r="C21" s="295" t="s">
        <v>248</v>
      </c>
      <c r="D21" s="295" t="s">
        <v>250</v>
      </c>
      <c r="E21" s="295">
        <v>760</v>
      </c>
      <c r="F21" s="307">
        <v>1.07</v>
      </c>
      <c r="G21" s="299">
        <v>99999</v>
      </c>
      <c r="H21" s="312">
        <v>99999</v>
      </c>
      <c r="I21" s="308">
        <f>J21/Q21</f>
        <v>9.3020134228187921</v>
      </c>
      <c r="J21" s="313">
        <v>9.702</v>
      </c>
      <c r="K21" s="314">
        <f>L21/R21</f>
        <v>12.5</v>
      </c>
      <c r="L21" s="315">
        <v>12.5</v>
      </c>
      <c r="M21" s="295">
        <v>65</v>
      </c>
      <c r="N21" s="295">
        <v>99999</v>
      </c>
      <c r="O21" s="298">
        <v>99999</v>
      </c>
      <c r="P21" s="299">
        <v>760</v>
      </c>
      <c r="Q21" s="299">
        <v>1.0429999999999999</v>
      </c>
      <c r="R21" s="299">
        <v>1</v>
      </c>
      <c r="S21" s="295">
        <v>0.88900000000000001</v>
      </c>
      <c r="T21" s="295">
        <v>0.875</v>
      </c>
      <c r="U21" s="295">
        <v>1</v>
      </c>
      <c r="V21" s="295">
        <v>0.54930000000000001</v>
      </c>
      <c r="W21" s="295">
        <v>6201.51</v>
      </c>
      <c r="X21" s="310">
        <v>820</v>
      </c>
    </row>
    <row r="22" spans="2:24" ht="5.25" customHeight="1" x14ac:dyDescent="0.35">
      <c r="B22" s="295"/>
      <c r="C22" s="295"/>
      <c r="D22" s="295"/>
      <c r="E22" s="295"/>
      <c r="F22" s="307"/>
      <c r="G22" s="299"/>
      <c r="H22" s="312"/>
      <c r="I22" s="316"/>
      <c r="J22" s="295"/>
      <c r="K22" s="297"/>
      <c r="L22" s="296"/>
      <c r="M22" s="295"/>
      <c r="N22" s="295"/>
      <c r="O22" s="298"/>
      <c r="P22" s="299"/>
      <c r="Q22" s="299"/>
      <c r="R22" s="299"/>
      <c r="S22" s="295"/>
      <c r="T22" s="295"/>
      <c r="U22" s="295"/>
      <c r="V22" s="295"/>
      <c r="W22" s="295"/>
      <c r="X22" s="295"/>
    </row>
    <row r="23" spans="2:24" x14ac:dyDescent="0.35">
      <c r="B23" s="295" t="s">
        <v>251</v>
      </c>
      <c r="C23" s="295" t="s">
        <v>248</v>
      </c>
      <c r="D23" s="295" t="s">
        <v>249</v>
      </c>
      <c r="E23" s="295">
        <v>64.989999999999995</v>
      </c>
      <c r="F23" s="307">
        <v>1.07</v>
      </c>
      <c r="G23" s="299">
        <v>13.814</v>
      </c>
      <c r="H23" s="308">
        <f>G23*N23</f>
        <v>14.463258</v>
      </c>
      <c r="I23" s="309">
        <f>G23/O23</f>
        <v>12.096322241681262</v>
      </c>
      <c r="J23" s="299">
        <v>99999</v>
      </c>
      <c r="K23" s="297">
        <v>99999</v>
      </c>
      <c r="L23" s="299">
        <v>99999</v>
      </c>
      <c r="M23" s="295">
        <v>65</v>
      </c>
      <c r="N23" s="310">
        <v>1.0469999999999999</v>
      </c>
      <c r="O23" s="311">
        <v>1.1419999999999999</v>
      </c>
      <c r="P23" s="299">
        <v>99999</v>
      </c>
      <c r="Q23" s="299">
        <v>99999</v>
      </c>
      <c r="R23" s="299">
        <v>99999</v>
      </c>
      <c r="S23" s="295">
        <v>0.88900000000000001</v>
      </c>
      <c r="T23" s="295">
        <v>0.875</v>
      </c>
      <c r="U23" s="295">
        <v>1</v>
      </c>
      <c r="V23" s="295">
        <v>0</v>
      </c>
      <c r="W23" s="295">
        <v>6201.51</v>
      </c>
      <c r="X23" s="310">
        <v>200</v>
      </c>
    </row>
    <row r="24" spans="2:24" x14ac:dyDescent="0.35">
      <c r="B24" s="295" t="s">
        <v>251</v>
      </c>
      <c r="C24" s="295" t="s">
        <v>248</v>
      </c>
      <c r="D24" s="295" t="s">
        <v>249</v>
      </c>
      <c r="E24" s="295">
        <v>65</v>
      </c>
      <c r="F24" s="307">
        <v>1.07</v>
      </c>
      <c r="G24" s="299">
        <v>99999</v>
      </c>
      <c r="H24" s="312">
        <v>99999</v>
      </c>
      <c r="I24" s="308">
        <f>J24/Q24</f>
        <v>10.740172579098754</v>
      </c>
      <c r="J24" s="313">
        <v>11.202</v>
      </c>
      <c r="K24" s="314">
        <f>L24/R24</f>
        <v>14.8</v>
      </c>
      <c r="L24" s="315">
        <v>14.8</v>
      </c>
      <c r="M24" s="295">
        <v>65</v>
      </c>
      <c r="N24" s="295">
        <v>99999</v>
      </c>
      <c r="O24" s="298">
        <v>99999</v>
      </c>
      <c r="P24" s="299">
        <v>65</v>
      </c>
      <c r="Q24" s="299">
        <v>1.0429999999999999</v>
      </c>
      <c r="R24" s="299">
        <v>1</v>
      </c>
      <c r="S24" s="295">
        <v>0.88900000000000001</v>
      </c>
      <c r="T24" s="295">
        <v>0.875</v>
      </c>
      <c r="U24" s="295">
        <v>1</v>
      </c>
      <c r="V24" s="295">
        <v>0</v>
      </c>
      <c r="W24" s="295">
        <v>6201.51</v>
      </c>
      <c r="X24" s="310">
        <v>400</v>
      </c>
    </row>
    <row r="25" spans="2:24" x14ac:dyDescent="0.35">
      <c r="B25" s="295" t="s">
        <v>251</v>
      </c>
      <c r="C25" s="295" t="s">
        <v>248</v>
      </c>
      <c r="D25" s="295" t="s">
        <v>249</v>
      </c>
      <c r="E25" s="295">
        <v>135</v>
      </c>
      <c r="F25" s="307">
        <v>1.07</v>
      </c>
      <c r="G25" s="299">
        <v>99999</v>
      </c>
      <c r="H25" s="312">
        <v>99999</v>
      </c>
      <c r="I25" s="308">
        <f>J25/Q25</f>
        <v>10.548418024928093</v>
      </c>
      <c r="J25" s="313">
        <v>11.002000000000001</v>
      </c>
      <c r="K25" s="314">
        <f>L25/R25</f>
        <v>14.2</v>
      </c>
      <c r="L25" s="315">
        <v>14.2</v>
      </c>
      <c r="M25" s="295">
        <v>65</v>
      </c>
      <c r="N25" s="295">
        <v>99999</v>
      </c>
      <c r="O25" s="298">
        <v>99999</v>
      </c>
      <c r="P25" s="299">
        <v>135</v>
      </c>
      <c r="Q25" s="299">
        <v>1.0429999999999999</v>
      </c>
      <c r="R25" s="299">
        <v>1</v>
      </c>
      <c r="S25" s="295">
        <v>0.88900000000000001</v>
      </c>
      <c r="T25" s="295">
        <v>0.875</v>
      </c>
      <c r="U25" s="295">
        <v>1</v>
      </c>
      <c r="V25" s="295">
        <v>0</v>
      </c>
      <c r="W25" s="295">
        <v>6201.51</v>
      </c>
      <c r="X25" s="310">
        <v>800</v>
      </c>
    </row>
    <row r="26" spans="2:24" x14ac:dyDescent="0.35">
      <c r="B26" s="295" t="s">
        <v>251</v>
      </c>
      <c r="C26" s="295" t="s">
        <v>248</v>
      </c>
      <c r="D26" s="295" t="s">
        <v>249</v>
      </c>
      <c r="E26" s="295">
        <v>240</v>
      </c>
      <c r="F26" s="307">
        <v>1.07</v>
      </c>
      <c r="G26" s="299">
        <v>99999</v>
      </c>
      <c r="H26" s="312">
        <v>99999</v>
      </c>
      <c r="I26" s="308">
        <f>J26/Q26</f>
        <v>9.5896452540747852</v>
      </c>
      <c r="J26" s="313">
        <v>10.002000000000001</v>
      </c>
      <c r="K26" s="314">
        <f>L26/R26</f>
        <v>13.2</v>
      </c>
      <c r="L26" s="315">
        <v>13.2</v>
      </c>
      <c r="M26" s="295">
        <v>65</v>
      </c>
      <c r="N26" s="295">
        <v>99999</v>
      </c>
      <c r="O26" s="298">
        <v>99999</v>
      </c>
      <c r="P26" s="299">
        <v>240</v>
      </c>
      <c r="Q26" s="299">
        <v>1.0429999999999999</v>
      </c>
      <c r="R26" s="299">
        <v>1</v>
      </c>
      <c r="S26" s="295">
        <v>0.88900000000000001</v>
      </c>
      <c r="T26" s="295">
        <v>0.875</v>
      </c>
      <c r="U26" s="295">
        <v>1</v>
      </c>
      <c r="V26" s="295">
        <v>0</v>
      </c>
      <c r="W26" s="295">
        <v>6201.51</v>
      </c>
      <c r="X26" s="310">
        <v>820</v>
      </c>
    </row>
    <row r="27" spans="2:24" x14ac:dyDescent="0.35">
      <c r="B27" s="295" t="s">
        <v>251</v>
      </c>
      <c r="C27" s="295" t="s">
        <v>248</v>
      </c>
      <c r="D27" s="295" t="s">
        <v>249</v>
      </c>
      <c r="E27" s="295">
        <v>760</v>
      </c>
      <c r="F27" s="307">
        <v>1.07</v>
      </c>
      <c r="G27" s="299">
        <v>99999</v>
      </c>
      <c r="H27" s="312">
        <v>99999</v>
      </c>
      <c r="I27" s="308">
        <f>J27/Q27</f>
        <v>9.3020134228187921</v>
      </c>
      <c r="J27" s="313">
        <v>9.702</v>
      </c>
      <c r="K27" s="314">
        <f>L27/R27</f>
        <v>12.5</v>
      </c>
      <c r="L27" s="315">
        <v>12.5</v>
      </c>
      <c r="M27" s="295">
        <v>65</v>
      </c>
      <c r="N27" s="295">
        <v>99999</v>
      </c>
      <c r="O27" s="298">
        <v>99999</v>
      </c>
      <c r="P27" s="299">
        <v>760</v>
      </c>
      <c r="Q27" s="299">
        <v>1.0429999999999999</v>
      </c>
      <c r="R27" s="299">
        <v>1</v>
      </c>
      <c r="S27" s="295">
        <v>0.88900000000000001</v>
      </c>
      <c r="T27" s="295">
        <v>0.875</v>
      </c>
      <c r="U27" s="295">
        <v>1</v>
      </c>
      <c r="V27" s="295">
        <v>0</v>
      </c>
      <c r="W27" s="295">
        <v>6201.51</v>
      </c>
      <c r="X27" s="310">
        <v>820</v>
      </c>
    </row>
    <row r="28" spans="2:24" x14ac:dyDescent="0.35">
      <c r="B28" s="295" t="s">
        <v>251</v>
      </c>
      <c r="C28" s="295" t="s">
        <v>248</v>
      </c>
      <c r="D28" s="295" t="s">
        <v>250</v>
      </c>
      <c r="E28" s="295">
        <v>64.989999999999995</v>
      </c>
      <c r="F28" s="307">
        <v>1.07</v>
      </c>
      <c r="G28" s="299">
        <v>13.814</v>
      </c>
      <c r="H28" s="308">
        <f>G28*N28</f>
        <v>14.463258</v>
      </c>
      <c r="I28" s="309">
        <f>G28/O28</f>
        <v>12.096322241681262</v>
      </c>
      <c r="J28" s="299">
        <v>99999</v>
      </c>
      <c r="K28" s="297">
        <v>99999</v>
      </c>
      <c r="L28" s="299">
        <v>99999</v>
      </c>
      <c r="M28" s="295">
        <v>65</v>
      </c>
      <c r="N28" s="310">
        <v>1.0469999999999999</v>
      </c>
      <c r="O28" s="311">
        <v>1.1419999999999999</v>
      </c>
      <c r="P28" s="299">
        <v>99999</v>
      </c>
      <c r="Q28" s="299">
        <v>99999</v>
      </c>
      <c r="R28" s="299">
        <v>99999</v>
      </c>
      <c r="S28" s="295">
        <v>0.88900000000000001</v>
      </c>
      <c r="T28" s="295">
        <v>0.875</v>
      </c>
      <c r="U28" s="295">
        <v>1</v>
      </c>
      <c r="V28" s="295">
        <v>0.54930000000000001</v>
      </c>
      <c r="W28" s="295">
        <v>6201.51</v>
      </c>
      <c r="X28" s="310">
        <v>200</v>
      </c>
    </row>
    <row r="29" spans="2:24" x14ac:dyDescent="0.35">
      <c r="B29" s="295" t="s">
        <v>251</v>
      </c>
      <c r="C29" s="295" t="s">
        <v>248</v>
      </c>
      <c r="D29" s="295" t="s">
        <v>250</v>
      </c>
      <c r="E29" s="295">
        <v>65</v>
      </c>
      <c r="F29" s="307">
        <v>1.07</v>
      </c>
      <c r="G29" s="299">
        <v>99999</v>
      </c>
      <c r="H29" s="312">
        <v>99999</v>
      </c>
      <c r="I29" s="308">
        <f>J29/Q29</f>
        <v>10.740172579098754</v>
      </c>
      <c r="J29" s="313">
        <v>11.202</v>
      </c>
      <c r="K29" s="314">
        <f>L29/R29</f>
        <v>14.8</v>
      </c>
      <c r="L29" s="315">
        <v>14.8</v>
      </c>
      <c r="M29" s="295">
        <v>65</v>
      </c>
      <c r="N29" s="295">
        <v>99999</v>
      </c>
      <c r="O29" s="298">
        <v>99999</v>
      </c>
      <c r="P29" s="299">
        <v>65</v>
      </c>
      <c r="Q29" s="299">
        <v>1.0429999999999999</v>
      </c>
      <c r="R29" s="299">
        <v>1</v>
      </c>
      <c r="S29" s="295">
        <v>0.88900000000000001</v>
      </c>
      <c r="T29" s="295">
        <v>0.875</v>
      </c>
      <c r="U29" s="295">
        <v>1</v>
      </c>
      <c r="V29" s="295">
        <v>0.54930000000000001</v>
      </c>
      <c r="W29" s="295">
        <v>6201.51</v>
      </c>
      <c r="X29" s="310">
        <v>400</v>
      </c>
    </row>
    <row r="30" spans="2:24" x14ac:dyDescent="0.35">
      <c r="B30" s="295" t="s">
        <v>251</v>
      </c>
      <c r="C30" s="295" t="s">
        <v>248</v>
      </c>
      <c r="D30" s="295" t="s">
        <v>250</v>
      </c>
      <c r="E30" s="295">
        <v>135</v>
      </c>
      <c r="F30" s="307">
        <v>1.07</v>
      </c>
      <c r="G30" s="299">
        <v>99999</v>
      </c>
      <c r="H30" s="312">
        <v>99999</v>
      </c>
      <c r="I30" s="308">
        <f>J30/Q30</f>
        <v>10.548418024928093</v>
      </c>
      <c r="J30" s="313">
        <v>11.002000000000001</v>
      </c>
      <c r="K30" s="314">
        <f>L30/R30</f>
        <v>14.2</v>
      </c>
      <c r="L30" s="315">
        <v>14.2</v>
      </c>
      <c r="M30" s="295">
        <v>65</v>
      </c>
      <c r="N30" s="295">
        <v>99999</v>
      </c>
      <c r="O30" s="298">
        <v>99999</v>
      </c>
      <c r="P30" s="299">
        <v>135</v>
      </c>
      <c r="Q30" s="299">
        <v>1.0429999999999999</v>
      </c>
      <c r="R30" s="299">
        <v>1</v>
      </c>
      <c r="S30" s="295">
        <v>0.88900000000000001</v>
      </c>
      <c r="T30" s="295">
        <v>0.875</v>
      </c>
      <c r="U30" s="295">
        <v>1</v>
      </c>
      <c r="V30" s="295">
        <v>0.54930000000000001</v>
      </c>
      <c r="W30" s="295">
        <v>6201.51</v>
      </c>
      <c r="X30" s="310">
        <v>800</v>
      </c>
    </row>
    <row r="31" spans="2:24" x14ac:dyDescent="0.35">
      <c r="B31" s="295" t="s">
        <v>251</v>
      </c>
      <c r="C31" s="295" t="s">
        <v>248</v>
      </c>
      <c r="D31" s="295" t="s">
        <v>250</v>
      </c>
      <c r="E31" s="295">
        <v>240</v>
      </c>
      <c r="F31" s="307">
        <v>1.07</v>
      </c>
      <c r="G31" s="299">
        <v>99999</v>
      </c>
      <c r="H31" s="312">
        <v>99999</v>
      </c>
      <c r="I31" s="308">
        <f>J31/Q31</f>
        <v>9.5896452540747852</v>
      </c>
      <c r="J31" s="313">
        <v>10.002000000000001</v>
      </c>
      <c r="K31" s="314">
        <f>L31/R31</f>
        <v>13.2</v>
      </c>
      <c r="L31" s="315">
        <v>13.2</v>
      </c>
      <c r="M31" s="295">
        <v>65</v>
      </c>
      <c r="N31" s="295">
        <v>99999</v>
      </c>
      <c r="O31" s="298">
        <v>99999</v>
      </c>
      <c r="P31" s="299">
        <v>240</v>
      </c>
      <c r="Q31" s="299">
        <v>1.0429999999999999</v>
      </c>
      <c r="R31" s="299">
        <v>1</v>
      </c>
      <c r="S31" s="295">
        <v>0.88900000000000001</v>
      </c>
      <c r="T31" s="295">
        <v>0.875</v>
      </c>
      <c r="U31" s="295">
        <v>1</v>
      </c>
      <c r="V31" s="295">
        <v>0.54930000000000001</v>
      </c>
      <c r="W31" s="295">
        <v>6201.51</v>
      </c>
      <c r="X31" s="310">
        <v>820</v>
      </c>
    </row>
    <row r="32" spans="2:24" x14ac:dyDescent="0.35">
      <c r="B32" s="295" t="s">
        <v>251</v>
      </c>
      <c r="C32" s="295" t="s">
        <v>248</v>
      </c>
      <c r="D32" s="295" t="s">
        <v>250</v>
      </c>
      <c r="E32" s="295">
        <v>760</v>
      </c>
      <c r="F32" s="307">
        <v>1.07</v>
      </c>
      <c r="G32" s="299">
        <v>99999</v>
      </c>
      <c r="H32" s="312">
        <v>99999</v>
      </c>
      <c r="I32" s="308">
        <f>J32/Q32</f>
        <v>9.3020134228187921</v>
      </c>
      <c r="J32" s="313">
        <v>9.702</v>
      </c>
      <c r="K32" s="314">
        <f>L32/R32</f>
        <v>12.5</v>
      </c>
      <c r="L32" s="315">
        <v>12.5</v>
      </c>
      <c r="M32" s="295">
        <v>65</v>
      </c>
      <c r="N32" s="295">
        <v>99999</v>
      </c>
      <c r="O32" s="298">
        <v>99999</v>
      </c>
      <c r="P32" s="299">
        <v>760</v>
      </c>
      <c r="Q32" s="299">
        <v>1.0429999999999999</v>
      </c>
      <c r="R32" s="299">
        <v>1</v>
      </c>
      <c r="S32" s="295">
        <v>0.88900000000000001</v>
      </c>
      <c r="T32" s="295">
        <v>0.875</v>
      </c>
      <c r="U32" s="295">
        <v>1</v>
      </c>
      <c r="V32" s="295">
        <v>0.54930000000000001</v>
      </c>
      <c r="W32" s="295">
        <v>6201.51</v>
      </c>
      <c r="X32" s="310">
        <v>820</v>
      </c>
    </row>
    <row r="34" spans="3:12" x14ac:dyDescent="0.35">
      <c r="C34" s="192" t="s">
        <v>252</v>
      </c>
      <c r="G34" s="217"/>
      <c r="H34" s="217"/>
      <c r="I34" s="217"/>
      <c r="J34" s="217"/>
      <c r="K34" s="217"/>
      <c r="L34" s="217"/>
    </row>
    <row r="35" spans="3:12" ht="21" x14ac:dyDescent="0.5">
      <c r="C35" s="193" t="s">
        <v>253</v>
      </c>
      <c r="F35" s="218" t="s">
        <v>254</v>
      </c>
      <c r="G35" s="219" t="s">
        <v>255</v>
      </c>
    </row>
    <row r="36" spans="3:12" x14ac:dyDescent="0.35">
      <c r="C36" s="191" t="s">
        <v>256</v>
      </c>
    </row>
    <row r="37" spans="3:12" x14ac:dyDescent="0.35">
      <c r="C37" s="194" t="s">
        <v>257</v>
      </c>
    </row>
    <row r="39" spans="3:12" x14ac:dyDescent="0.35">
      <c r="C39" s="195" t="s">
        <v>258</v>
      </c>
      <c r="D39" s="195" t="s">
        <v>259</v>
      </c>
      <c r="E39" s="195" t="s">
        <v>260</v>
      </c>
    </row>
    <row r="40" spans="3:12" x14ac:dyDescent="0.35">
      <c r="C40" s="196" t="s">
        <v>261</v>
      </c>
      <c r="D40" s="197" t="s">
        <v>114</v>
      </c>
      <c r="E40" s="196" t="s">
        <v>115</v>
      </c>
    </row>
    <row r="41" spans="3:12" x14ac:dyDescent="0.35">
      <c r="C41" s="198" t="s">
        <v>262</v>
      </c>
      <c r="D41" s="197" t="s">
        <v>117</v>
      </c>
      <c r="E41" s="196" t="s">
        <v>118</v>
      </c>
    </row>
    <row r="42" spans="3:12" x14ac:dyDescent="0.35">
      <c r="C42" s="198" t="s">
        <v>263</v>
      </c>
      <c r="D42" s="197" t="s">
        <v>121</v>
      </c>
      <c r="E42" s="196" t="s">
        <v>122</v>
      </c>
    </row>
    <row r="43" spans="3:12" x14ac:dyDescent="0.35">
      <c r="C43" s="198" t="s">
        <v>264</v>
      </c>
      <c r="D43" s="197" t="s">
        <v>126</v>
      </c>
      <c r="E43" s="196" t="s">
        <v>127</v>
      </c>
    </row>
    <row r="44" spans="3:12" x14ac:dyDescent="0.35">
      <c r="C44" s="198" t="s">
        <v>265</v>
      </c>
      <c r="D44" s="197" t="s">
        <v>130</v>
      </c>
      <c r="E44" s="196" t="s">
        <v>127</v>
      </c>
    </row>
  </sheetData>
  <sheetProtection algorithmName="SHA-512" hashValue="EbVhrryxVmA0zdMB+NNrXI/seM2tg5lT6xHj21xKz4UJTunSypGc5ONiuBtOOMHrbODWW2WRMdhgle3iK24etw==" saltValue="r2glz7zQOKGgPjN6v2qU5g==" spinCount="100000" sheet="1" objects="1" scenarios="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3426-22CD-4B6C-8015-7460F20BA5C0}">
  <dimension ref="A2:F27"/>
  <sheetViews>
    <sheetView topLeftCell="G1" workbookViewId="0">
      <selection activeCell="AQ41" sqref="AQ41"/>
    </sheetView>
  </sheetViews>
  <sheetFormatPr defaultRowHeight="12.5" x14ac:dyDescent="0.25"/>
  <cols>
    <col min="1" max="1" width="14.7265625" hidden="1" customWidth="1"/>
    <col min="2" max="2" width="26" hidden="1" customWidth="1"/>
    <col min="3" max="3" width="14.54296875" hidden="1" customWidth="1"/>
    <col min="4" max="4" width="111.26953125" hidden="1" customWidth="1"/>
    <col min="5" max="5" width="0" hidden="1" customWidth="1"/>
    <col min="6" max="6" width="44.54296875" hidden="1" customWidth="1"/>
  </cols>
  <sheetData>
    <row r="2" spans="1:6" ht="13" x14ac:dyDescent="0.3">
      <c r="A2" s="317" t="s">
        <v>266</v>
      </c>
      <c r="B2" s="317" t="s">
        <v>267</v>
      </c>
      <c r="C2" s="317" t="s">
        <v>268</v>
      </c>
      <c r="D2" s="317" t="s">
        <v>269</v>
      </c>
      <c r="F2" s="215"/>
    </row>
    <row r="3" spans="1:6" x14ac:dyDescent="0.25">
      <c r="A3" s="318">
        <v>45730</v>
      </c>
      <c r="B3" s="319" t="s">
        <v>270</v>
      </c>
      <c r="C3" s="319" t="s">
        <v>271</v>
      </c>
      <c r="D3" s="319" t="s">
        <v>272</v>
      </c>
      <c r="F3" t="s">
        <v>273</v>
      </c>
    </row>
    <row r="4" spans="1:6" x14ac:dyDescent="0.25">
      <c r="A4" s="318">
        <v>45730</v>
      </c>
      <c r="B4" s="319" t="s">
        <v>270</v>
      </c>
      <c r="C4" s="319" t="s">
        <v>274</v>
      </c>
      <c r="D4" s="319" t="s">
        <v>272</v>
      </c>
      <c r="F4" t="s">
        <v>275</v>
      </c>
    </row>
    <row r="5" spans="1:6" x14ac:dyDescent="0.25">
      <c r="A5" s="318">
        <v>45730</v>
      </c>
      <c r="B5" s="319" t="s">
        <v>270</v>
      </c>
      <c r="C5" s="319" t="s">
        <v>276</v>
      </c>
      <c r="D5" s="319" t="s">
        <v>272</v>
      </c>
      <c r="F5" t="s">
        <v>277</v>
      </c>
    </row>
    <row r="6" spans="1:6" x14ac:dyDescent="0.25">
      <c r="A6" s="318">
        <v>45730</v>
      </c>
      <c r="B6" s="319" t="s">
        <v>270</v>
      </c>
      <c r="C6" s="319" t="s">
        <v>278</v>
      </c>
      <c r="D6" s="319" t="s">
        <v>272</v>
      </c>
    </row>
    <row r="7" spans="1:6" x14ac:dyDescent="0.25">
      <c r="A7" s="318">
        <v>45730</v>
      </c>
      <c r="B7" s="319" t="s">
        <v>270</v>
      </c>
      <c r="C7" s="319" t="s">
        <v>279</v>
      </c>
      <c r="D7" s="319" t="s">
        <v>280</v>
      </c>
    </row>
    <row r="8" spans="1:6" x14ac:dyDescent="0.25">
      <c r="A8" s="318">
        <v>45730</v>
      </c>
      <c r="B8" s="319" t="s">
        <v>270</v>
      </c>
      <c r="C8" s="319" t="s">
        <v>281</v>
      </c>
      <c r="D8" s="319" t="s">
        <v>282</v>
      </c>
    </row>
    <row r="9" spans="1:6" x14ac:dyDescent="0.25">
      <c r="A9" s="318">
        <v>45730</v>
      </c>
      <c r="B9" s="319" t="s">
        <v>270</v>
      </c>
      <c r="C9" s="319" t="s">
        <v>283</v>
      </c>
      <c r="D9" s="319" t="s">
        <v>284</v>
      </c>
    </row>
    <row r="10" spans="1:6" x14ac:dyDescent="0.25">
      <c r="A10" s="318">
        <v>45730</v>
      </c>
      <c r="B10" s="319" t="s">
        <v>270</v>
      </c>
      <c r="C10" s="319" t="s">
        <v>285</v>
      </c>
      <c r="D10" s="319" t="s">
        <v>286</v>
      </c>
    </row>
    <row r="11" spans="1:6" x14ac:dyDescent="0.25">
      <c r="A11" s="318"/>
      <c r="B11" s="319"/>
      <c r="C11" s="320"/>
      <c r="D11" s="320"/>
    </row>
    <row r="12" spans="1:6" x14ac:dyDescent="0.25">
      <c r="A12" s="318">
        <v>45750</v>
      </c>
      <c r="B12" s="319" t="s">
        <v>287</v>
      </c>
      <c r="C12" s="320"/>
      <c r="D12" s="320" t="s">
        <v>288</v>
      </c>
    </row>
    <row r="13" spans="1:6" x14ac:dyDescent="0.25">
      <c r="A13" s="320"/>
      <c r="B13" s="320"/>
      <c r="C13" s="320"/>
      <c r="D13" s="320"/>
    </row>
    <row r="14" spans="1:6" x14ac:dyDescent="0.25">
      <c r="A14" s="320"/>
      <c r="B14" s="320"/>
      <c r="C14" s="320"/>
      <c r="D14" s="320"/>
    </row>
    <row r="15" spans="1:6" x14ac:dyDescent="0.25">
      <c r="A15" s="320"/>
      <c r="B15" s="320"/>
      <c r="C15" s="320"/>
      <c r="D15" s="320"/>
    </row>
    <row r="16" spans="1:6" x14ac:dyDescent="0.25">
      <c r="A16" s="320"/>
      <c r="B16" s="320"/>
      <c r="C16" s="320"/>
      <c r="D16" s="320"/>
    </row>
    <row r="17" spans="1:4" x14ac:dyDescent="0.25">
      <c r="A17" s="320"/>
      <c r="B17" s="320"/>
      <c r="C17" s="320"/>
      <c r="D17" s="320"/>
    </row>
    <row r="18" spans="1:4" x14ac:dyDescent="0.25">
      <c r="A18" s="320"/>
      <c r="B18" s="320"/>
      <c r="C18" s="320"/>
      <c r="D18" s="320"/>
    </row>
    <row r="19" spans="1:4" x14ac:dyDescent="0.25">
      <c r="A19" s="320"/>
      <c r="B19" s="320"/>
      <c r="C19" s="320"/>
      <c r="D19" s="320"/>
    </row>
    <row r="20" spans="1:4" x14ac:dyDescent="0.25">
      <c r="A20" s="320"/>
      <c r="B20" s="320"/>
      <c r="C20" s="320"/>
      <c r="D20" s="320"/>
    </row>
    <row r="21" spans="1:4" x14ac:dyDescent="0.25">
      <c r="A21" s="320"/>
      <c r="B21" s="320"/>
      <c r="C21" s="320"/>
      <c r="D21" s="320"/>
    </row>
    <row r="22" spans="1:4" x14ac:dyDescent="0.25">
      <c r="A22" s="320"/>
      <c r="B22" s="320"/>
      <c r="C22" s="320"/>
      <c r="D22" s="320"/>
    </row>
    <row r="23" spans="1:4" x14ac:dyDescent="0.25">
      <c r="A23" s="320"/>
      <c r="B23" s="320"/>
      <c r="C23" s="320"/>
      <c r="D23" s="320"/>
    </row>
    <row r="24" spans="1:4" x14ac:dyDescent="0.25">
      <c r="A24" s="320"/>
      <c r="B24" s="320"/>
      <c r="C24" s="320"/>
      <c r="D24" s="320"/>
    </row>
    <row r="25" spans="1:4" x14ac:dyDescent="0.25">
      <c r="A25" s="320"/>
      <c r="B25" s="320"/>
      <c r="C25" s="320"/>
      <c r="D25" s="320"/>
    </row>
    <row r="26" spans="1:4" x14ac:dyDescent="0.25">
      <c r="A26" s="320"/>
      <c r="B26" s="320"/>
      <c r="C26" s="320"/>
      <c r="D26" s="320"/>
    </row>
    <row r="27" spans="1:4" x14ac:dyDescent="0.25">
      <c r="A27" s="320"/>
      <c r="B27" s="320"/>
      <c r="C27" s="320"/>
      <c r="D27" s="320"/>
    </row>
  </sheetData>
  <sheetProtection algorithmName="SHA-512" hashValue="EVEyHTNH8WN8svohy++mv1Af8wX3YTYpXlB4tsP3bcrMxD5JxdtU7Wy/VwFchT0wC5mOKcFoysi/u0ALW73YzA==" saltValue="uxCj2EbLPmUH1SuvrUuMLQ==" spinCount="100000" sheet="1" objects="1" scenarios="1"/>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4986-58DF-4120-9A86-D8FD789169A0}">
  <dimension ref="A1:BB78"/>
  <sheetViews>
    <sheetView topLeftCell="Q31" zoomScale="85" zoomScaleNormal="85" workbookViewId="0">
      <selection activeCell="AQ41" sqref="AQ41"/>
    </sheetView>
  </sheetViews>
  <sheetFormatPr defaultColWidth="9.1796875" defaultRowHeight="12.5" x14ac:dyDescent="0.25"/>
  <cols>
    <col min="1" max="1" width="5.54296875" style="3" hidden="1" customWidth="1"/>
    <col min="2" max="2" width="16.26953125" style="3" hidden="1" customWidth="1"/>
    <col min="3" max="3" width="8.81640625" style="3" hidden="1" customWidth="1"/>
    <col min="4" max="4" width="11.81640625" style="3" hidden="1" customWidth="1"/>
    <col min="5" max="5" width="12.7265625" style="3" hidden="1" customWidth="1"/>
    <col min="6" max="9" width="9.26953125" style="3" hidden="1" customWidth="1"/>
    <col min="10" max="10" width="13.1796875" style="3" hidden="1" customWidth="1"/>
    <col min="11" max="11" width="12.7265625" style="3" hidden="1" customWidth="1"/>
    <col min="12" max="12" width="14" style="225" hidden="1" customWidth="1"/>
    <col min="13" max="13" width="12.7265625" style="226" hidden="1" customWidth="1"/>
    <col min="14" max="14" width="42.26953125" style="223" hidden="1" customWidth="1"/>
    <col min="15" max="15" width="94.7265625" style="223" hidden="1" customWidth="1"/>
    <col min="16" max="16" width="0" style="223" hidden="1" customWidth="1"/>
    <col min="17" max="54" width="9.1796875" style="223"/>
    <col min="55" max="16384" width="9.1796875" style="3"/>
  </cols>
  <sheetData>
    <row r="1" spans="1:17" ht="13" x14ac:dyDescent="0.3">
      <c r="B1" s="220"/>
      <c r="C1" s="220"/>
      <c r="D1" s="220"/>
      <c r="E1" s="220"/>
      <c r="F1" s="221" t="s">
        <v>289</v>
      </c>
      <c r="G1" s="221" t="s">
        <v>290</v>
      </c>
      <c r="H1" s="221" t="s">
        <v>289</v>
      </c>
      <c r="I1" s="221" t="s">
        <v>290</v>
      </c>
      <c r="J1" s="221" t="s">
        <v>289</v>
      </c>
      <c r="K1" s="221" t="s">
        <v>290</v>
      </c>
      <c r="L1" s="220"/>
      <c r="M1" s="222" t="s">
        <v>290</v>
      </c>
    </row>
    <row r="2" spans="1:17" ht="13" x14ac:dyDescent="0.3">
      <c r="B2" s="321" t="s">
        <v>291</v>
      </c>
      <c r="C2" s="321" t="s">
        <v>292</v>
      </c>
      <c r="D2" s="321" t="s">
        <v>293</v>
      </c>
      <c r="E2" s="321" t="s">
        <v>294</v>
      </c>
      <c r="F2" s="322" t="s">
        <v>295</v>
      </c>
      <c r="G2" s="322"/>
      <c r="H2" s="322" t="s">
        <v>296</v>
      </c>
      <c r="I2" s="322"/>
      <c r="J2" s="322" t="s">
        <v>297</v>
      </c>
      <c r="K2" s="322"/>
      <c r="L2" s="322" t="s">
        <v>298</v>
      </c>
      <c r="M2" s="322"/>
      <c r="N2" s="323" t="s">
        <v>299</v>
      </c>
      <c r="O2" s="323" t="s">
        <v>300</v>
      </c>
    </row>
    <row r="3" spans="1:17" x14ac:dyDescent="0.25">
      <c r="A3" s="224"/>
      <c r="B3" s="324" t="s">
        <v>301</v>
      </c>
      <c r="C3" s="324">
        <v>64</v>
      </c>
      <c r="D3" s="324" t="s">
        <v>81</v>
      </c>
      <c r="E3" s="324">
        <v>15.5</v>
      </c>
      <c r="F3" s="325">
        <v>0.47</v>
      </c>
      <c r="G3" s="326">
        <v>0.44800000000000001</v>
      </c>
      <c r="H3" s="325">
        <v>0</v>
      </c>
      <c r="I3" s="326">
        <v>0</v>
      </c>
      <c r="J3" s="325">
        <v>2914.71</v>
      </c>
      <c r="K3" s="326">
        <v>2778.3409999999999</v>
      </c>
      <c r="L3" s="327">
        <v>200</v>
      </c>
      <c r="M3" s="328"/>
      <c r="N3" s="323"/>
      <c r="O3" s="329"/>
    </row>
    <row r="4" spans="1:17" x14ac:dyDescent="0.25">
      <c r="A4" s="224"/>
      <c r="B4" s="324" t="s">
        <v>302</v>
      </c>
      <c r="C4" s="324">
        <v>64</v>
      </c>
      <c r="D4" s="324" t="s">
        <v>9</v>
      </c>
      <c r="E4" s="324">
        <v>15.5</v>
      </c>
      <c r="F4" s="325">
        <v>-2.8</v>
      </c>
      <c r="G4" s="326">
        <v>0.44800000000000001</v>
      </c>
      <c r="H4" s="325">
        <v>0</v>
      </c>
      <c r="I4" s="326">
        <v>0</v>
      </c>
      <c r="J4" s="325">
        <v>-173642</v>
      </c>
      <c r="K4" s="326">
        <v>2778.3409999999999</v>
      </c>
      <c r="L4" s="327">
        <v>200</v>
      </c>
      <c r="M4" s="328"/>
      <c r="N4" s="323" t="s">
        <v>303</v>
      </c>
      <c r="O4" s="323" t="s">
        <v>304</v>
      </c>
    </row>
    <row r="5" spans="1:17" x14ac:dyDescent="0.25">
      <c r="A5" s="224"/>
      <c r="B5" s="324" t="s">
        <v>302</v>
      </c>
      <c r="C5" s="324">
        <v>64</v>
      </c>
      <c r="D5" s="324" t="s">
        <v>87</v>
      </c>
      <c r="E5" s="324">
        <v>15.5</v>
      </c>
      <c r="F5" s="325">
        <v>0.76</v>
      </c>
      <c r="G5" s="326">
        <v>0.44800000000000001</v>
      </c>
      <c r="H5" s="325">
        <v>0</v>
      </c>
      <c r="I5" s="326">
        <v>0</v>
      </c>
      <c r="J5" s="325">
        <v>4731.1499999999996</v>
      </c>
      <c r="K5" s="326">
        <v>2778.34</v>
      </c>
      <c r="L5" s="327">
        <v>200</v>
      </c>
      <c r="M5" s="328"/>
      <c r="N5" s="323" t="s">
        <v>305</v>
      </c>
      <c r="O5" s="329">
        <v>12.94</v>
      </c>
      <c r="Q5" s="223" t="s">
        <v>306</v>
      </c>
    </row>
    <row r="6" spans="1:17" x14ac:dyDescent="0.25">
      <c r="A6" s="224"/>
      <c r="B6" s="329" t="s">
        <v>302</v>
      </c>
      <c r="C6" s="329">
        <v>65</v>
      </c>
      <c r="D6" s="329" t="s">
        <v>12</v>
      </c>
      <c r="E6" s="329">
        <v>16</v>
      </c>
      <c r="F6" s="330">
        <v>0.28999999999999998</v>
      </c>
      <c r="G6" s="331">
        <v>0.29299999999999998</v>
      </c>
      <c r="H6" s="330">
        <v>0</v>
      </c>
      <c r="I6" s="331">
        <v>0</v>
      </c>
      <c r="J6" s="330">
        <v>1798.44</v>
      </c>
      <c r="K6" s="331">
        <v>1815.9839999999999</v>
      </c>
      <c r="L6" s="332">
        <v>400</v>
      </c>
      <c r="M6" s="333"/>
      <c r="N6" s="323"/>
      <c r="O6" s="323"/>
    </row>
    <row r="7" spans="1:17" x14ac:dyDescent="0.25">
      <c r="A7" s="224"/>
      <c r="B7" s="329" t="s">
        <v>302</v>
      </c>
      <c r="C7" s="329">
        <v>65</v>
      </c>
      <c r="D7" s="329" t="s">
        <v>11</v>
      </c>
      <c r="E7" s="329">
        <v>16</v>
      </c>
      <c r="F7" s="330">
        <v>0.28999999999999998</v>
      </c>
      <c r="G7" s="331">
        <v>0.29299999999999998</v>
      </c>
      <c r="H7" s="330">
        <v>0</v>
      </c>
      <c r="I7" s="331">
        <v>0</v>
      </c>
      <c r="J7" s="330">
        <v>1798.44</v>
      </c>
      <c r="K7" s="331">
        <v>1815.9839999999999</v>
      </c>
      <c r="L7" s="332">
        <v>400</v>
      </c>
      <c r="M7" s="333"/>
      <c r="N7" s="323"/>
      <c r="O7" s="323"/>
    </row>
    <row r="8" spans="1:17" x14ac:dyDescent="0.25">
      <c r="A8" s="224"/>
      <c r="B8" s="329" t="s">
        <v>302</v>
      </c>
      <c r="C8" s="329">
        <v>65</v>
      </c>
      <c r="D8" s="329" t="s">
        <v>307</v>
      </c>
      <c r="E8" s="329">
        <v>12</v>
      </c>
      <c r="F8" s="330">
        <v>0.34</v>
      </c>
      <c r="G8" s="331">
        <v>0.34300000000000003</v>
      </c>
      <c r="H8" s="330">
        <v>0</v>
      </c>
      <c r="I8" s="331">
        <v>0</v>
      </c>
      <c r="J8" s="330">
        <v>2108.5100000000002</v>
      </c>
      <c r="K8" s="331">
        <v>2127.3490000000002</v>
      </c>
      <c r="L8" s="332">
        <v>400</v>
      </c>
      <c r="M8" s="333"/>
      <c r="N8" s="323"/>
      <c r="O8" s="323"/>
    </row>
    <row r="9" spans="1:17" x14ac:dyDescent="0.25">
      <c r="A9" s="224"/>
      <c r="B9" s="324" t="s">
        <v>302</v>
      </c>
      <c r="C9" s="324">
        <v>134</v>
      </c>
      <c r="D9" s="324" t="s">
        <v>12</v>
      </c>
      <c r="E9" s="324">
        <v>16</v>
      </c>
      <c r="F9" s="325">
        <v>0.6</v>
      </c>
      <c r="G9" s="326">
        <v>0.60399999999999998</v>
      </c>
      <c r="H9" s="325">
        <v>0</v>
      </c>
      <c r="I9" s="326">
        <v>0</v>
      </c>
      <c r="J9" s="325">
        <v>3720.91</v>
      </c>
      <c r="K9" s="326">
        <v>3743.7220000000002</v>
      </c>
      <c r="L9" s="327">
        <v>400</v>
      </c>
      <c r="M9" s="328"/>
      <c r="N9" s="323"/>
      <c r="O9" s="323"/>
    </row>
    <row r="10" spans="1:17" x14ac:dyDescent="0.25">
      <c r="A10" s="224"/>
      <c r="B10" s="324" t="s">
        <v>302</v>
      </c>
      <c r="C10" s="324">
        <v>134</v>
      </c>
      <c r="D10" s="324" t="s">
        <v>11</v>
      </c>
      <c r="E10" s="324">
        <v>16</v>
      </c>
      <c r="F10" s="325">
        <v>0.6</v>
      </c>
      <c r="G10" s="326">
        <v>0.60399999999999998</v>
      </c>
      <c r="H10" s="325">
        <v>0</v>
      </c>
      <c r="I10" s="326">
        <v>0</v>
      </c>
      <c r="J10" s="325">
        <v>3720.91</v>
      </c>
      <c r="K10" s="326">
        <v>3743.7220000000002</v>
      </c>
      <c r="L10" s="327">
        <v>400</v>
      </c>
      <c r="M10" s="328"/>
      <c r="N10" s="323"/>
      <c r="O10" s="323"/>
    </row>
    <row r="11" spans="1:17" x14ac:dyDescent="0.25">
      <c r="A11" s="224"/>
      <c r="B11" s="324" t="s">
        <v>302</v>
      </c>
      <c r="C11" s="324">
        <v>134</v>
      </c>
      <c r="D11" s="324" t="s">
        <v>307</v>
      </c>
      <c r="E11" s="324">
        <v>12</v>
      </c>
      <c r="F11" s="325">
        <v>0.7</v>
      </c>
      <c r="G11" s="326">
        <v>0.70699999999999996</v>
      </c>
      <c r="H11" s="325">
        <v>0</v>
      </c>
      <c r="I11" s="326">
        <v>0</v>
      </c>
      <c r="J11" s="325">
        <v>4341.0600000000004</v>
      </c>
      <c r="K11" s="326">
        <v>4385.6109999999999</v>
      </c>
      <c r="L11" s="327">
        <v>400</v>
      </c>
      <c r="M11" s="328"/>
      <c r="N11" s="323"/>
      <c r="O11" s="323"/>
    </row>
    <row r="12" spans="1:17" x14ac:dyDescent="0.25">
      <c r="A12" s="224"/>
      <c r="B12" s="329" t="s">
        <v>302</v>
      </c>
      <c r="C12" s="329">
        <v>135</v>
      </c>
      <c r="D12" s="329" t="s">
        <v>12</v>
      </c>
      <c r="E12" s="329">
        <v>16</v>
      </c>
      <c r="F12" s="330">
        <v>1</v>
      </c>
      <c r="G12" s="331">
        <v>0.95099999999999996</v>
      </c>
      <c r="H12" s="330">
        <v>0</v>
      </c>
      <c r="I12" s="331">
        <v>0</v>
      </c>
      <c r="J12" s="330">
        <v>6201.51</v>
      </c>
      <c r="K12" s="331">
        <v>5896.5389999999998</v>
      </c>
      <c r="L12" s="332">
        <v>800</v>
      </c>
      <c r="M12" s="333"/>
      <c r="N12" s="323"/>
      <c r="O12" s="323"/>
    </row>
    <row r="13" spans="1:17" x14ac:dyDescent="0.25">
      <c r="A13" s="224"/>
      <c r="B13" s="329" t="s">
        <v>302</v>
      </c>
      <c r="C13" s="329">
        <v>135</v>
      </c>
      <c r="D13" s="329" t="s">
        <v>11</v>
      </c>
      <c r="E13" s="329">
        <v>16</v>
      </c>
      <c r="F13" s="330">
        <v>1</v>
      </c>
      <c r="G13" s="331">
        <v>0.95099999999999996</v>
      </c>
      <c r="H13" s="330">
        <v>0</v>
      </c>
      <c r="I13" s="331">
        <v>0</v>
      </c>
      <c r="J13" s="330">
        <v>6201.51</v>
      </c>
      <c r="K13" s="331">
        <v>5896.5389999999998</v>
      </c>
      <c r="L13" s="332">
        <v>800</v>
      </c>
      <c r="M13" s="333"/>
      <c r="N13" s="323"/>
      <c r="O13" s="323"/>
    </row>
    <row r="14" spans="1:17" x14ac:dyDescent="0.25">
      <c r="A14" s="224"/>
      <c r="B14" s="329" t="s">
        <v>302</v>
      </c>
      <c r="C14" s="329">
        <v>135</v>
      </c>
      <c r="D14" s="329" t="s">
        <v>307</v>
      </c>
      <c r="E14" s="329">
        <v>12</v>
      </c>
      <c r="F14" s="330">
        <v>0.9</v>
      </c>
      <c r="G14" s="331">
        <v>0.90700000000000003</v>
      </c>
      <c r="H14" s="330">
        <v>0</v>
      </c>
      <c r="I14" s="331">
        <v>0</v>
      </c>
      <c r="J14" s="330">
        <v>5581.36</v>
      </c>
      <c r="K14" s="331">
        <v>5626.1409999999996</v>
      </c>
      <c r="L14" s="332">
        <v>800</v>
      </c>
      <c r="M14" s="333"/>
      <c r="N14" s="323"/>
      <c r="O14" s="323"/>
    </row>
    <row r="15" spans="1:17" x14ac:dyDescent="0.25">
      <c r="A15" s="224"/>
      <c r="B15" s="324" t="s">
        <v>302</v>
      </c>
      <c r="C15" s="324">
        <v>239</v>
      </c>
      <c r="D15" s="324" t="s">
        <v>12</v>
      </c>
      <c r="E15" s="324">
        <v>16</v>
      </c>
      <c r="F15" s="325">
        <v>1.77</v>
      </c>
      <c r="G15" s="326">
        <v>1.6830000000000001</v>
      </c>
      <c r="H15" s="325">
        <v>0</v>
      </c>
      <c r="I15" s="326">
        <v>0</v>
      </c>
      <c r="J15" s="325">
        <v>10976.67</v>
      </c>
      <c r="K15" s="326">
        <v>10439.057000000001</v>
      </c>
      <c r="L15" s="327">
        <v>800</v>
      </c>
      <c r="M15" s="328"/>
      <c r="N15" s="323"/>
      <c r="O15" s="323"/>
    </row>
    <row r="16" spans="1:17" x14ac:dyDescent="0.25">
      <c r="A16" s="224"/>
      <c r="B16" s="324" t="s">
        <v>302</v>
      </c>
      <c r="C16" s="324">
        <v>239</v>
      </c>
      <c r="D16" s="324" t="s">
        <v>11</v>
      </c>
      <c r="E16" s="324">
        <v>16</v>
      </c>
      <c r="F16" s="325">
        <v>1.77</v>
      </c>
      <c r="G16" s="326">
        <v>1.6830000000000001</v>
      </c>
      <c r="H16" s="325">
        <v>0</v>
      </c>
      <c r="I16" s="326">
        <v>0</v>
      </c>
      <c r="J16" s="325">
        <v>10976.67</v>
      </c>
      <c r="K16" s="326">
        <v>10439.057000000001</v>
      </c>
      <c r="L16" s="327">
        <v>800</v>
      </c>
      <c r="M16" s="328"/>
      <c r="N16" s="323"/>
      <c r="O16" s="323"/>
    </row>
    <row r="17" spans="1:15" x14ac:dyDescent="0.25">
      <c r="A17" s="224"/>
      <c r="B17" s="324" t="s">
        <v>302</v>
      </c>
      <c r="C17" s="324">
        <v>239</v>
      </c>
      <c r="D17" s="324" t="s">
        <v>307</v>
      </c>
      <c r="E17" s="324">
        <v>12</v>
      </c>
      <c r="F17" s="325">
        <v>1.59</v>
      </c>
      <c r="G17" s="326">
        <v>1.6060000000000001</v>
      </c>
      <c r="H17" s="325">
        <v>0</v>
      </c>
      <c r="I17" s="326">
        <v>0</v>
      </c>
      <c r="J17" s="325">
        <v>9860.4</v>
      </c>
      <c r="K17" s="326">
        <v>9960.3539999999994</v>
      </c>
      <c r="L17" s="327">
        <v>800</v>
      </c>
      <c r="M17" s="328"/>
      <c r="N17" s="323"/>
      <c r="O17" s="323"/>
    </row>
    <row r="18" spans="1:15" x14ac:dyDescent="0.25">
      <c r="A18" s="224"/>
      <c r="B18" s="329" t="s">
        <v>302</v>
      </c>
      <c r="C18" s="329">
        <v>240</v>
      </c>
      <c r="D18" s="329" t="s">
        <v>12</v>
      </c>
      <c r="E18" s="329">
        <v>14.5</v>
      </c>
      <c r="F18" s="330">
        <v>1.42</v>
      </c>
      <c r="G18" s="331">
        <v>1.4490000000000001</v>
      </c>
      <c r="H18" s="330">
        <v>0</v>
      </c>
      <c r="I18" s="331">
        <v>0</v>
      </c>
      <c r="J18" s="330">
        <v>8806.14</v>
      </c>
      <c r="K18" s="331">
        <v>8986.9410000000007</v>
      </c>
      <c r="L18" s="332">
        <v>1164</v>
      </c>
      <c r="M18" s="333">
        <v>1188.31</v>
      </c>
      <c r="N18" s="323"/>
      <c r="O18" s="323"/>
    </row>
    <row r="19" spans="1:15" x14ac:dyDescent="0.25">
      <c r="A19" s="224"/>
      <c r="B19" s="329" t="s">
        <v>302</v>
      </c>
      <c r="C19" s="329">
        <v>240</v>
      </c>
      <c r="D19" s="329" t="s">
        <v>11</v>
      </c>
      <c r="E19" s="329">
        <v>14.5</v>
      </c>
      <c r="F19" s="330">
        <v>1.42</v>
      </c>
      <c r="G19" s="331">
        <v>1.4490000000000001</v>
      </c>
      <c r="H19" s="330">
        <v>0</v>
      </c>
      <c r="I19" s="331">
        <v>0</v>
      </c>
      <c r="J19" s="330">
        <v>8806.14</v>
      </c>
      <c r="K19" s="331">
        <v>8986.9410000000007</v>
      </c>
      <c r="L19" s="332">
        <v>1164</v>
      </c>
      <c r="M19" s="333">
        <v>1188.31</v>
      </c>
      <c r="N19" s="323"/>
      <c r="O19" s="323"/>
    </row>
    <row r="20" spans="1:15" x14ac:dyDescent="0.25">
      <c r="A20" s="224"/>
      <c r="B20" s="329" t="s">
        <v>302</v>
      </c>
      <c r="C20" s="329">
        <v>240</v>
      </c>
      <c r="D20" s="329" t="s">
        <v>307</v>
      </c>
      <c r="E20" s="329">
        <v>11</v>
      </c>
      <c r="F20" s="330">
        <v>1.96</v>
      </c>
      <c r="G20" s="331">
        <v>1.9350000000000001</v>
      </c>
      <c r="H20" s="330">
        <v>0</v>
      </c>
      <c r="I20" s="331">
        <v>0</v>
      </c>
      <c r="J20" s="330">
        <v>12154.96</v>
      </c>
      <c r="K20" s="331">
        <v>12002.217000000001</v>
      </c>
      <c r="L20" s="332">
        <v>1607</v>
      </c>
      <c r="M20" s="333">
        <v>1587</v>
      </c>
      <c r="N20" s="323"/>
      <c r="O20" s="323"/>
    </row>
    <row r="21" spans="1:15" x14ac:dyDescent="0.25">
      <c r="A21" s="224"/>
      <c r="B21" s="324" t="s">
        <v>302</v>
      </c>
      <c r="C21" s="324">
        <v>759</v>
      </c>
      <c r="D21" s="324" t="s">
        <v>12</v>
      </c>
      <c r="E21" s="324">
        <v>14.5</v>
      </c>
      <c r="F21" s="325">
        <v>4.5</v>
      </c>
      <c r="G21" s="326">
        <v>4.5830000000000002</v>
      </c>
      <c r="H21" s="325">
        <v>0</v>
      </c>
      <c r="I21" s="326">
        <v>0</v>
      </c>
      <c r="J21" s="325">
        <v>27906.799999999999</v>
      </c>
      <c r="K21" s="326">
        <v>28421.200000000001</v>
      </c>
      <c r="L21" s="327">
        <v>3690</v>
      </c>
      <c r="M21" s="328">
        <v>3758.02</v>
      </c>
      <c r="N21" s="323"/>
      <c r="O21" s="323"/>
    </row>
    <row r="22" spans="1:15" x14ac:dyDescent="0.25">
      <c r="A22" s="224"/>
      <c r="B22" s="324" t="s">
        <v>302</v>
      </c>
      <c r="C22" s="324">
        <v>759</v>
      </c>
      <c r="D22" s="324" t="s">
        <v>11</v>
      </c>
      <c r="E22" s="324">
        <v>14.5</v>
      </c>
      <c r="F22" s="325">
        <v>4.5</v>
      </c>
      <c r="G22" s="326">
        <v>4.5830000000000002</v>
      </c>
      <c r="H22" s="325">
        <v>0</v>
      </c>
      <c r="I22" s="326">
        <v>0</v>
      </c>
      <c r="J22" s="325">
        <v>27906.799999999999</v>
      </c>
      <c r="K22" s="326">
        <v>28421.200000000001</v>
      </c>
      <c r="L22" s="327">
        <v>3690</v>
      </c>
      <c r="M22" s="328">
        <v>3758.02</v>
      </c>
      <c r="N22" s="323"/>
      <c r="O22" s="323"/>
    </row>
    <row r="23" spans="1:15" x14ac:dyDescent="0.25">
      <c r="A23" s="224"/>
      <c r="B23" s="324" t="s">
        <v>302</v>
      </c>
      <c r="C23" s="324">
        <v>759</v>
      </c>
      <c r="D23" s="324" t="s">
        <v>307</v>
      </c>
      <c r="E23" s="324">
        <v>11</v>
      </c>
      <c r="F23" s="325">
        <v>6.19</v>
      </c>
      <c r="G23" s="326">
        <v>6.1210000000000004</v>
      </c>
      <c r="H23" s="325">
        <v>0</v>
      </c>
      <c r="I23" s="326">
        <v>0</v>
      </c>
      <c r="J23" s="325">
        <v>38387.35</v>
      </c>
      <c r="K23" s="326">
        <v>37957.01</v>
      </c>
      <c r="L23" s="327">
        <v>5076</v>
      </c>
      <c r="M23" s="328">
        <v>5018.01</v>
      </c>
      <c r="N23" s="323"/>
      <c r="O23" s="323"/>
    </row>
    <row r="24" spans="1:15" x14ac:dyDescent="0.25">
      <c r="A24" s="224"/>
      <c r="B24" s="329" t="s">
        <v>302</v>
      </c>
      <c r="C24" s="329">
        <v>760</v>
      </c>
      <c r="D24" s="329" t="s">
        <v>12</v>
      </c>
      <c r="E24" s="329">
        <v>14</v>
      </c>
      <c r="F24" s="330">
        <v>5.63</v>
      </c>
      <c r="G24" s="331">
        <v>5.9710000000000001</v>
      </c>
      <c r="H24" s="330">
        <v>0</v>
      </c>
      <c r="I24" s="331">
        <v>0</v>
      </c>
      <c r="J24" s="330">
        <v>34914.5</v>
      </c>
      <c r="K24" s="331">
        <v>35914.184999999998</v>
      </c>
      <c r="L24" s="332">
        <v>4617</v>
      </c>
      <c r="M24" s="333">
        <v>4748.78</v>
      </c>
      <c r="N24" s="323"/>
      <c r="O24" s="323"/>
    </row>
    <row r="25" spans="1:15" x14ac:dyDescent="0.25">
      <c r="A25" s="224"/>
      <c r="B25" s="329" t="s">
        <v>302</v>
      </c>
      <c r="C25" s="329">
        <v>760</v>
      </c>
      <c r="D25" s="329" t="s">
        <v>11</v>
      </c>
      <c r="E25" s="329">
        <v>14</v>
      </c>
      <c r="F25" s="330">
        <v>5.63</v>
      </c>
      <c r="G25" s="331">
        <v>5.9710000000000001</v>
      </c>
      <c r="H25" s="330">
        <v>0</v>
      </c>
      <c r="I25" s="331">
        <v>0</v>
      </c>
      <c r="J25" s="330">
        <v>34914.5</v>
      </c>
      <c r="K25" s="331">
        <v>35914.184999999998</v>
      </c>
      <c r="L25" s="332">
        <v>4617</v>
      </c>
      <c r="M25" s="333">
        <v>4748.78</v>
      </c>
      <c r="N25" s="323"/>
      <c r="O25" s="323"/>
    </row>
    <row r="26" spans="1:15" x14ac:dyDescent="0.25">
      <c r="A26" s="224"/>
      <c r="B26" s="329" t="s">
        <v>302</v>
      </c>
      <c r="C26" s="329">
        <v>760</v>
      </c>
      <c r="D26" s="329" t="s">
        <v>307</v>
      </c>
      <c r="E26" s="329">
        <v>10.4</v>
      </c>
      <c r="F26" s="330">
        <v>5.07</v>
      </c>
      <c r="G26" s="331">
        <v>4.6740000000000004</v>
      </c>
      <c r="H26" s="330">
        <v>0</v>
      </c>
      <c r="I26" s="331">
        <v>0</v>
      </c>
      <c r="J26" s="330">
        <v>31441.66</v>
      </c>
      <c r="K26" s="331">
        <v>28985.021000000001</v>
      </c>
      <c r="L26" s="332">
        <v>4157</v>
      </c>
      <c r="M26" s="333">
        <v>3832.57</v>
      </c>
      <c r="N26" s="323"/>
      <c r="O26" s="323"/>
    </row>
    <row r="27" spans="1:15" x14ac:dyDescent="0.25">
      <c r="M27" s="225"/>
    </row>
    <row r="28" spans="1:15" x14ac:dyDescent="0.25">
      <c r="B28" s="334" t="s">
        <v>291</v>
      </c>
      <c r="C28" s="334" t="s">
        <v>292</v>
      </c>
      <c r="D28" s="334" t="s">
        <v>293</v>
      </c>
      <c r="E28" s="334" t="s">
        <v>294</v>
      </c>
      <c r="F28" s="334" t="s">
        <v>295</v>
      </c>
      <c r="G28" s="334"/>
      <c r="H28" s="334" t="s">
        <v>296</v>
      </c>
      <c r="I28" s="334"/>
      <c r="J28" s="334" t="s">
        <v>297</v>
      </c>
      <c r="K28" s="334"/>
      <c r="L28" s="335" t="s">
        <v>298</v>
      </c>
      <c r="M28" s="335"/>
      <c r="N28" s="323" t="s">
        <v>299</v>
      </c>
      <c r="O28" s="323" t="s">
        <v>300</v>
      </c>
    </row>
    <row r="29" spans="1:15" ht="37.5" x14ac:dyDescent="0.25">
      <c r="B29" s="336" t="s">
        <v>308</v>
      </c>
      <c r="C29" s="336">
        <v>64</v>
      </c>
      <c r="D29" s="336" t="s">
        <v>81</v>
      </c>
      <c r="E29" s="336">
        <v>13</v>
      </c>
      <c r="F29" s="337">
        <v>-0.21</v>
      </c>
      <c r="G29" s="337"/>
      <c r="H29" s="337">
        <v>0</v>
      </c>
      <c r="I29" s="337"/>
      <c r="J29" s="337">
        <v>-1139.53</v>
      </c>
      <c r="K29" s="337"/>
      <c r="L29" s="338">
        <v>200</v>
      </c>
      <c r="M29" s="338"/>
      <c r="N29" s="323" t="s">
        <v>309</v>
      </c>
      <c r="O29" s="339" t="s">
        <v>310</v>
      </c>
    </row>
    <row r="30" spans="1:15" x14ac:dyDescent="0.25">
      <c r="B30" s="336" t="s">
        <v>311</v>
      </c>
      <c r="C30" s="336">
        <v>64</v>
      </c>
      <c r="D30" s="336" t="s">
        <v>9</v>
      </c>
      <c r="E30" s="336">
        <v>15</v>
      </c>
      <c r="F30" s="337">
        <v>-3.11</v>
      </c>
      <c r="G30" s="337"/>
      <c r="H30" s="337">
        <v>0</v>
      </c>
      <c r="I30" s="337"/>
      <c r="J30" s="337">
        <v>-16875.86</v>
      </c>
      <c r="K30" s="337"/>
      <c r="L30" s="338">
        <v>200</v>
      </c>
      <c r="M30" s="338"/>
      <c r="N30" s="323" t="s">
        <v>312</v>
      </c>
      <c r="O30" s="323" t="s">
        <v>313</v>
      </c>
    </row>
    <row r="31" spans="1:15" ht="25" x14ac:dyDescent="0.25">
      <c r="B31" s="336" t="s">
        <v>311</v>
      </c>
      <c r="C31" s="336">
        <v>64</v>
      </c>
      <c r="D31" s="336" t="s">
        <v>87</v>
      </c>
      <c r="E31" s="336">
        <v>13</v>
      </c>
      <c r="F31" s="340">
        <v>0.04</v>
      </c>
      <c r="G31" s="340"/>
      <c r="H31" s="340">
        <v>0</v>
      </c>
      <c r="I31" s="340"/>
      <c r="J31" s="340">
        <v>217.05</v>
      </c>
      <c r="K31" s="340"/>
      <c r="L31" s="341">
        <v>200</v>
      </c>
      <c r="M31" s="341"/>
      <c r="N31" s="323" t="s">
        <v>314</v>
      </c>
      <c r="O31" s="339" t="s">
        <v>315</v>
      </c>
    </row>
    <row r="32" spans="1:15" x14ac:dyDescent="0.25">
      <c r="B32" s="329" t="s">
        <v>311</v>
      </c>
      <c r="C32" s="329">
        <v>65</v>
      </c>
      <c r="D32" s="329" t="s">
        <v>12</v>
      </c>
      <c r="E32" s="329">
        <v>16</v>
      </c>
      <c r="F32" s="342">
        <v>0.25</v>
      </c>
      <c r="G32" s="342"/>
      <c r="H32" s="342">
        <v>0</v>
      </c>
      <c r="I32" s="342"/>
      <c r="J32" s="342">
        <v>1356.58</v>
      </c>
      <c r="K32" s="342"/>
      <c r="L32" s="343">
        <v>400</v>
      </c>
      <c r="M32" s="343"/>
      <c r="N32" s="323"/>
      <c r="O32" s="323"/>
    </row>
    <row r="33" spans="2:15" x14ac:dyDescent="0.25">
      <c r="B33" s="329" t="s">
        <v>311</v>
      </c>
      <c r="C33" s="329">
        <v>65</v>
      </c>
      <c r="D33" s="329" t="s">
        <v>11</v>
      </c>
      <c r="E33" s="329">
        <v>16</v>
      </c>
      <c r="F33" s="342">
        <v>0.25</v>
      </c>
      <c r="G33" s="342"/>
      <c r="H33" s="342">
        <v>0</v>
      </c>
      <c r="I33" s="342"/>
      <c r="J33" s="342">
        <v>1356.58</v>
      </c>
      <c r="K33" s="342"/>
      <c r="L33" s="343">
        <v>400</v>
      </c>
      <c r="M33" s="343"/>
      <c r="N33" s="323"/>
      <c r="O33" s="323"/>
    </row>
    <row r="34" spans="2:15" x14ac:dyDescent="0.25">
      <c r="B34" s="329" t="s">
        <v>311</v>
      </c>
      <c r="C34" s="329">
        <v>65</v>
      </c>
      <c r="D34" s="329" t="s">
        <v>307</v>
      </c>
      <c r="E34" s="329">
        <v>12</v>
      </c>
      <c r="F34" s="342">
        <v>0.3</v>
      </c>
      <c r="G34" s="342"/>
      <c r="H34" s="342">
        <v>0</v>
      </c>
      <c r="I34" s="342"/>
      <c r="J34" s="342">
        <v>1627.9</v>
      </c>
      <c r="K34" s="342"/>
      <c r="L34" s="343">
        <v>400</v>
      </c>
      <c r="M34" s="343"/>
      <c r="N34" s="323"/>
      <c r="O34" s="323"/>
    </row>
    <row r="35" spans="2:15" x14ac:dyDescent="0.25">
      <c r="B35" s="336" t="s">
        <v>311</v>
      </c>
      <c r="C35" s="336">
        <v>134</v>
      </c>
      <c r="D35" s="336" t="s">
        <v>12</v>
      </c>
      <c r="E35" s="336">
        <v>16</v>
      </c>
      <c r="F35" s="337">
        <v>0.52</v>
      </c>
      <c r="G35" s="337"/>
      <c r="H35" s="337">
        <v>0</v>
      </c>
      <c r="I35" s="337"/>
      <c r="J35" s="337">
        <v>2821.69</v>
      </c>
      <c r="K35" s="337"/>
      <c r="L35" s="338">
        <v>400</v>
      </c>
      <c r="M35" s="338"/>
      <c r="N35" s="323"/>
      <c r="O35" s="323"/>
    </row>
    <row r="36" spans="2:15" x14ac:dyDescent="0.25">
      <c r="B36" s="336" t="s">
        <v>311</v>
      </c>
      <c r="C36" s="336">
        <v>134</v>
      </c>
      <c r="D36" s="336" t="s">
        <v>11</v>
      </c>
      <c r="E36" s="336">
        <v>16</v>
      </c>
      <c r="F36" s="337">
        <v>0.52</v>
      </c>
      <c r="G36" s="337"/>
      <c r="H36" s="337">
        <v>0</v>
      </c>
      <c r="I36" s="337"/>
      <c r="J36" s="337">
        <v>2821.69</v>
      </c>
      <c r="K36" s="337"/>
      <c r="L36" s="338">
        <v>400</v>
      </c>
      <c r="M36" s="338"/>
      <c r="N36" s="323"/>
      <c r="O36" s="323"/>
    </row>
    <row r="37" spans="2:15" x14ac:dyDescent="0.25">
      <c r="B37" s="336" t="s">
        <v>311</v>
      </c>
      <c r="C37" s="336">
        <v>134</v>
      </c>
      <c r="D37" s="336" t="s">
        <v>307</v>
      </c>
      <c r="E37" s="336">
        <v>12</v>
      </c>
      <c r="F37" s="337">
        <v>0.61</v>
      </c>
      <c r="G37" s="337"/>
      <c r="H37" s="337">
        <v>0</v>
      </c>
      <c r="I37" s="337"/>
      <c r="J37" s="337">
        <v>3310.06</v>
      </c>
      <c r="K37" s="337"/>
      <c r="L37" s="338">
        <v>400</v>
      </c>
      <c r="M37" s="338"/>
      <c r="N37" s="323"/>
      <c r="O37" s="323"/>
    </row>
    <row r="38" spans="2:15" x14ac:dyDescent="0.25">
      <c r="B38" s="329" t="s">
        <v>311</v>
      </c>
      <c r="C38" s="329">
        <v>135</v>
      </c>
      <c r="D38" s="329" t="s">
        <v>12</v>
      </c>
      <c r="E38" s="329">
        <v>16</v>
      </c>
      <c r="F38" s="342">
        <v>0.88</v>
      </c>
      <c r="G38" s="342"/>
      <c r="H38" s="342">
        <v>0</v>
      </c>
      <c r="I38" s="342"/>
      <c r="J38" s="342">
        <v>4775.16</v>
      </c>
      <c r="K38" s="342"/>
      <c r="L38" s="343">
        <v>800</v>
      </c>
      <c r="M38" s="343"/>
      <c r="N38" s="323"/>
      <c r="O38" s="323"/>
    </row>
    <row r="39" spans="2:15" x14ac:dyDescent="0.25">
      <c r="B39" s="329" t="s">
        <v>311</v>
      </c>
      <c r="C39" s="329">
        <v>135</v>
      </c>
      <c r="D39" s="329" t="s">
        <v>11</v>
      </c>
      <c r="E39" s="329">
        <v>16</v>
      </c>
      <c r="F39" s="342">
        <v>0.88</v>
      </c>
      <c r="G39" s="342"/>
      <c r="H39" s="342">
        <v>0</v>
      </c>
      <c r="I39" s="342"/>
      <c r="J39" s="342">
        <v>4775.16</v>
      </c>
      <c r="K39" s="342"/>
      <c r="L39" s="343">
        <v>800</v>
      </c>
      <c r="M39" s="343"/>
      <c r="N39" s="323"/>
      <c r="O39" s="323"/>
    </row>
    <row r="40" spans="2:15" x14ac:dyDescent="0.25">
      <c r="B40" s="329" t="s">
        <v>311</v>
      </c>
      <c r="C40" s="329">
        <v>135</v>
      </c>
      <c r="D40" s="329" t="s">
        <v>307</v>
      </c>
      <c r="E40" s="329">
        <v>12</v>
      </c>
      <c r="F40" s="342">
        <v>0.79</v>
      </c>
      <c r="G40" s="342"/>
      <c r="H40" s="342">
        <v>0</v>
      </c>
      <c r="I40" s="342"/>
      <c r="J40" s="342">
        <v>4286.79</v>
      </c>
      <c r="K40" s="342"/>
      <c r="L40" s="343">
        <v>800</v>
      </c>
      <c r="M40" s="343"/>
      <c r="N40" s="323"/>
      <c r="O40" s="323"/>
    </row>
    <row r="41" spans="2:15" x14ac:dyDescent="0.25">
      <c r="B41" s="336" t="s">
        <v>311</v>
      </c>
      <c r="C41" s="336">
        <v>239</v>
      </c>
      <c r="D41" s="336" t="s">
        <v>12</v>
      </c>
      <c r="E41" s="336">
        <v>16</v>
      </c>
      <c r="F41" s="337">
        <v>1.55</v>
      </c>
      <c r="G41" s="337"/>
      <c r="H41" s="337">
        <v>0</v>
      </c>
      <c r="I41" s="337"/>
      <c r="J41" s="337">
        <v>8410.7999999999993</v>
      </c>
      <c r="K41" s="337"/>
      <c r="L41" s="338">
        <v>800</v>
      </c>
      <c r="M41" s="338"/>
      <c r="N41" s="323"/>
      <c r="O41" s="323"/>
    </row>
    <row r="42" spans="2:15" x14ac:dyDescent="0.25">
      <c r="B42" s="336" t="s">
        <v>311</v>
      </c>
      <c r="C42" s="336">
        <v>239</v>
      </c>
      <c r="D42" s="336" t="s">
        <v>11</v>
      </c>
      <c r="E42" s="336">
        <v>16</v>
      </c>
      <c r="F42" s="337">
        <v>1.55</v>
      </c>
      <c r="G42" s="337"/>
      <c r="H42" s="337">
        <v>0</v>
      </c>
      <c r="I42" s="337"/>
      <c r="J42" s="337">
        <v>8410.7999999999993</v>
      </c>
      <c r="K42" s="337"/>
      <c r="L42" s="338">
        <v>800</v>
      </c>
      <c r="M42" s="338"/>
      <c r="N42" s="323"/>
      <c r="O42" s="323"/>
    </row>
    <row r="43" spans="2:15" x14ac:dyDescent="0.25">
      <c r="B43" s="336" t="s">
        <v>311</v>
      </c>
      <c r="C43" s="336">
        <v>239</v>
      </c>
      <c r="D43" s="336" t="s">
        <v>307</v>
      </c>
      <c r="E43" s="336">
        <v>12</v>
      </c>
      <c r="F43" s="337">
        <v>1.39</v>
      </c>
      <c r="G43" s="337"/>
      <c r="H43" s="337">
        <v>0</v>
      </c>
      <c r="I43" s="337"/>
      <c r="J43" s="337">
        <v>7542.59</v>
      </c>
      <c r="K43" s="337"/>
      <c r="L43" s="338">
        <v>800</v>
      </c>
      <c r="M43" s="338"/>
      <c r="N43" s="323"/>
      <c r="O43" s="323"/>
    </row>
    <row r="44" spans="2:15" x14ac:dyDescent="0.25">
      <c r="B44" s="329" t="s">
        <v>311</v>
      </c>
      <c r="C44" s="329">
        <v>240</v>
      </c>
      <c r="D44" s="329" t="s">
        <v>12</v>
      </c>
      <c r="E44" s="329">
        <v>14.5</v>
      </c>
      <c r="F44" s="342">
        <v>1.24</v>
      </c>
      <c r="G44" s="342"/>
      <c r="H44" s="342">
        <v>0</v>
      </c>
      <c r="I44" s="342"/>
      <c r="J44" s="342">
        <v>6728.64</v>
      </c>
      <c r="K44" s="342"/>
      <c r="L44" s="343">
        <v>1017</v>
      </c>
      <c r="M44" s="343"/>
      <c r="N44" s="323"/>
      <c r="O44" s="323"/>
    </row>
    <row r="45" spans="2:15" x14ac:dyDescent="0.25">
      <c r="B45" s="329" t="s">
        <v>311</v>
      </c>
      <c r="C45" s="329">
        <v>240</v>
      </c>
      <c r="D45" s="329" t="s">
        <v>11</v>
      </c>
      <c r="E45" s="329">
        <v>14.5</v>
      </c>
      <c r="F45" s="342">
        <v>1.24</v>
      </c>
      <c r="G45" s="342"/>
      <c r="H45" s="342">
        <v>0</v>
      </c>
      <c r="I45" s="342"/>
      <c r="J45" s="342">
        <v>6728.64</v>
      </c>
      <c r="K45" s="342"/>
      <c r="L45" s="343">
        <v>1017</v>
      </c>
      <c r="M45" s="343"/>
      <c r="N45" s="323"/>
      <c r="O45" s="323"/>
    </row>
    <row r="46" spans="2:15" x14ac:dyDescent="0.25">
      <c r="B46" s="329" t="s">
        <v>311</v>
      </c>
      <c r="C46" s="329">
        <v>240</v>
      </c>
      <c r="D46" s="329" t="s">
        <v>307</v>
      </c>
      <c r="E46" s="329">
        <v>11</v>
      </c>
      <c r="F46" s="342">
        <v>1.71</v>
      </c>
      <c r="G46" s="342"/>
      <c r="H46" s="342">
        <v>0</v>
      </c>
      <c r="I46" s="342"/>
      <c r="J46" s="342">
        <v>9279.01</v>
      </c>
      <c r="K46" s="342"/>
      <c r="L46" s="343">
        <v>1402</v>
      </c>
      <c r="M46" s="343"/>
      <c r="N46" s="323"/>
      <c r="O46" s="323"/>
    </row>
    <row r="47" spans="2:15" x14ac:dyDescent="0.25">
      <c r="B47" s="336" t="s">
        <v>311</v>
      </c>
      <c r="C47" s="336">
        <v>759</v>
      </c>
      <c r="D47" s="336" t="s">
        <v>12</v>
      </c>
      <c r="E47" s="336">
        <v>14.5</v>
      </c>
      <c r="F47" s="337">
        <v>3.94</v>
      </c>
      <c r="G47" s="337"/>
      <c r="H47" s="337">
        <v>0</v>
      </c>
      <c r="I47" s="337"/>
      <c r="J47" s="337">
        <v>21379.71</v>
      </c>
      <c r="K47" s="337"/>
      <c r="L47" s="338">
        <v>3231</v>
      </c>
      <c r="M47" s="338"/>
      <c r="N47" s="323"/>
      <c r="O47" s="323"/>
    </row>
    <row r="48" spans="2:15" x14ac:dyDescent="0.25">
      <c r="B48" s="336" t="s">
        <v>311</v>
      </c>
      <c r="C48" s="336">
        <v>759</v>
      </c>
      <c r="D48" s="336" t="s">
        <v>11</v>
      </c>
      <c r="E48" s="336">
        <v>14.5</v>
      </c>
      <c r="F48" s="337">
        <v>3.94</v>
      </c>
      <c r="G48" s="337"/>
      <c r="H48" s="337">
        <v>0</v>
      </c>
      <c r="I48" s="337"/>
      <c r="J48" s="337">
        <v>21379.71</v>
      </c>
      <c r="K48" s="337"/>
      <c r="L48" s="338">
        <v>3231</v>
      </c>
      <c r="M48" s="338"/>
      <c r="N48" s="323"/>
      <c r="O48" s="323"/>
    </row>
    <row r="49" spans="2:15" x14ac:dyDescent="0.25">
      <c r="B49" s="336" t="s">
        <v>311</v>
      </c>
      <c r="C49" s="336">
        <v>759</v>
      </c>
      <c r="D49" s="336" t="s">
        <v>307</v>
      </c>
      <c r="E49" s="336">
        <v>11</v>
      </c>
      <c r="F49" s="337">
        <v>5.41</v>
      </c>
      <c r="G49" s="337"/>
      <c r="H49" s="337">
        <v>0</v>
      </c>
      <c r="I49" s="337"/>
      <c r="J49" s="337">
        <v>29356.400000000001</v>
      </c>
      <c r="K49" s="337"/>
      <c r="L49" s="338">
        <v>4436</v>
      </c>
      <c r="M49" s="338"/>
      <c r="N49" s="323"/>
      <c r="O49" s="323"/>
    </row>
    <row r="50" spans="2:15" x14ac:dyDescent="0.25">
      <c r="B50" s="329" t="s">
        <v>311</v>
      </c>
      <c r="C50" s="329">
        <v>760</v>
      </c>
      <c r="D50" s="329" t="s">
        <v>12</v>
      </c>
      <c r="E50" s="329">
        <v>14</v>
      </c>
      <c r="F50" s="342">
        <v>4.93</v>
      </c>
      <c r="G50" s="342"/>
      <c r="H50" s="342">
        <v>0</v>
      </c>
      <c r="I50" s="342"/>
      <c r="J50" s="342">
        <v>26751.759999999998</v>
      </c>
      <c r="K50" s="342"/>
      <c r="L50" s="343">
        <v>4043</v>
      </c>
      <c r="M50" s="343"/>
      <c r="N50" s="323"/>
      <c r="O50" s="323"/>
    </row>
    <row r="51" spans="2:15" x14ac:dyDescent="0.25">
      <c r="B51" s="329" t="s">
        <v>311</v>
      </c>
      <c r="C51" s="329">
        <v>760</v>
      </c>
      <c r="D51" s="329" t="s">
        <v>11</v>
      </c>
      <c r="E51" s="329">
        <v>14</v>
      </c>
      <c r="F51" s="342">
        <v>4.93</v>
      </c>
      <c r="G51" s="342"/>
      <c r="H51" s="342">
        <v>0</v>
      </c>
      <c r="I51" s="342"/>
      <c r="J51" s="342">
        <v>26751.759999999998</v>
      </c>
      <c r="K51" s="342"/>
      <c r="L51" s="343">
        <v>4043</v>
      </c>
      <c r="M51" s="343"/>
      <c r="N51" s="323"/>
      <c r="O51" s="323"/>
    </row>
    <row r="52" spans="2:15" x14ac:dyDescent="0.25">
      <c r="B52" s="329" t="s">
        <v>311</v>
      </c>
      <c r="C52" s="329">
        <v>760</v>
      </c>
      <c r="D52" s="329" t="s">
        <v>307</v>
      </c>
      <c r="E52" s="329">
        <v>10.4</v>
      </c>
      <c r="F52" s="342">
        <v>4.43</v>
      </c>
      <c r="G52" s="342"/>
      <c r="H52" s="342">
        <v>0</v>
      </c>
      <c r="I52" s="342"/>
      <c r="J52" s="342">
        <v>24038.6</v>
      </c>
      <c r="K52" s="342"/>
      <c r="L52" s="343">
        <v>3633</v>
      </c>
      <c r="M52" s="343"/>
      <c r="N52" s="323"/>
      <c r="O52" s="323"/>
    </row>
    <row r="54" spans="2:15" x14ac:dyDescent="0.25">
      <c r="B54" s="334" t="s">
        <v>291</v>
      </c>
      <c r="C54" s="334" t="s">
        <v>292</v>
      </c>
      <c r="D54" s="334" t="s">
        <v>293</v>
      </c>
      <c r="E54" s="334" t="s">
        <v>294</v>
      </c>
      <c r="F54" s="334" t="s">
        <v>295</v>
      </c>
      <c r="G54" s="344" t="s">
        <v>290</v>
      </c>
      <c r="H54" s="334" t="s">
        <v>296</v>
      </c>
      <c r="I54" s="344" t="s">
        <v>290</v>
      </c>
      <c r="J54" s="334" t="s">
        <v>297</v>
      </c>
      <c r="K54" s="344" t="s">
        <v>290</v>
      </c>
      <c r="L54" s="335" t="s">
        <v>298</v>
      </c>
      <c r="M54" s="335"/>
      <c r="N54" s="323"/>
      <c r="O54" s="323"/>
    </row>
    <row r="55" spans="2:15" x14ac:dyDescent="0.25">
      <c r="B55" s="336" t="s">
        <v>316</v>
      </c>
      <c r="C55" s="336">
        <v>64</v>
      </c>
      <c r="D55" s="336" t="s">
        <v>81</v>
      </c>
      <c r="E55" s="336">
        <v>13</v>
      </c>
      <c r="F55" s="337">
        <v>-0.21</v>
      </c>
      <c r="G55" s="345"/>
      <c r="H55" s="337">
        <v>0</v>
      </c>
      <c r="I55" s="345"/>
      <c r="J55" s="337">
        <v>-1139.53</v>
      </c>
      <c r="K55" s="345"/>
      <c r="L55" s="338">
        <v>200</v>
      </c>
      <c r="M55" s="338"/>
      <c r="N55" s="323"/>
      <c r="O55" s="339"/>
    </row>
    <row r="56" spans="2:15" x14ac:dyDescent="0.25">
      <c r="B56" s="336" t="s">
        <v>317</v>
      </c>
      <c r="C56" s="336">
        <v>64</v>
      </c>
      <c r="D56" s="336" t="s">
        <v>9</v>
      </c>
      <c r="E56" s="336">
        <v>15</v>
      </c>
      <c r="F56" s="337">
        <v>-3.11</v>
      </c>
      <c r="G56" s="345"/>
      <c r="H56" s="337">
        <v>0</v>
      </c>
      <c r="I56" s="345"/>
      <c r="J56" s="337">
        <v>-16875.86</v>
      </c>
      <c r="K56" s="345"/>
      <c r="L56" s="338">
        <v>200</v>
      </c>
      <c r="M56" s="338"/>
      <c r="N56" s="323"/>
      <c r="O56" s="323"/>
    </row>
    <row r="57" spans="2:15" x14ac:dyDescent="0.25">
      <c r="B57" s="336" t="s">
        <v>317</v>
      </c>
      <c r="C57" s="336">
        <v>64</v>
      </c>
      <c r="D57" s="336" t="s">
        <v>87</v>
      </c>
      <c r="E57" s="336">
        <v>13</v>
      </c>
      <c r="F57" s="340">
        <v>0.04</v>
      </c>
      <c r="G57" s="345"/>
      <c r="H57" s="340">
        <v>0.02</v>
      </c>
      <c r="I57" s="345"/>
      <c r="J57" s="340">
        <v>217.05</v>
      </c>
      <c r="K57" s="345"/>
      <c r="L57" s="341">
        <v>200</v>
      </c>
      <c r="M57" s="341"/>
      <c r="N57" s="323"/>
      <c r="O57" s="339"/>
    </row>
    <row r="58" spans="2:15" x14ac:dyDescent="0.25">
      <c r="B58" s="329" t="s">
        <v>317</v>
      </c>
      <c r="C58" s="329">
        <v>65</v>
      </c>
      <c r="D58" s="329" t="s">
        <v>12</v>
      </c>
      <c r="E58" s="329">
        <v>16</v>
      </c>
      <c r="F58" s="342">
        <v>0.25</v>
      </c>
      <c r="G58" s="342"/>
      <c r="H58" s="342">
        <v>0.12</v>
      </c>
      <c r="I58" s="346"/>
      <c r="J58" s="342">
        <v>1356.58</v>
      </c>
      <c r="K58" s="346"/>
      <c r="L58" s="343">
        <v>400</v>
      </c>
      <c r="M58" s="343"/>
      <c r="N58" s="323"/>
      <c r="O58" s="323"/>
    </row>
    <row r="59" spans="2:15" x14ac:dyDescent="0.25">
      <c r="B59" s="329" t="s">
        <v>317</v>
      </c>
      <c r="C59" s="329">
        <v>65</v>
      </c>
      <c r="D59" s="329" t="s">
        <v>11</v>
      </c>
      <c r="E59" s="329">
        <v>16</v>
      </c>
      <c r="F59" s="342">
        <v>0.25</v>
      </c>
      <c r="G59" s="342"/>
      <c r="H59" s="342">
        <v>0.12</v>
      </c>
      <c r="I59" s="346"/>
      <c r="J59" s="342">
        <v>1356.58</v>
      </c>
      <c r="K59" s="346"/>
      <c r="L59" s="343">
        <v>400</v>
      </c>
      <c r="M59" s="343"/>
      <c r="N59" s="323"/>
      <c r="O59" s="323"/>
    </row>
    <row r="60" spans="2:15" x14ac:dyDescent="0.25">
      <c r="B60" s="329" t="s">
        <v>317</v>
      </c>
      <c r="C60" s="329">
        <v>65</v>
      </c>
      <c r="D60" s="329" t="s">
        <v>307</v>
      </c>
      <c r="E60" s="329">
        <v>12</v>
      </c>
      <c r="F60" s="342">
        <v>0.3</v>
      </c>
      <c r="G60" s="342">
        <v>0.29199999999999998</v>
      </c>
      <c r="H60" s="342">
        <v>0.14000000000000001</v>
      </c>
      <c r="I60" s="346">
        <v>0.13600000000000001</v>
      </c>
      <c r="J60" s="342">
        <v>1627.9</v>
      </c>
      <c r="K60" s="346">
        <v>1540.6279999999999</v>
      </c>
      <c r="L60" s="343">
        <v>400</v>
      </c>
      <c r="M60" s="343">
        <v>400</v>
      </c>
      <c r="N60" s="323"/>
      <c r="O60" s="323"/>
    </row>
    <row r="61" spans="2:15" x14ac:dyDescent="0.25">
      <c r="B61" s="336" t="s">
        <v>317</v>
      </c>
      <c r="C61" s="336">
        <v>134</v>
      </c>
      <c r="D61" s="336" t="s">
        <v>12</v>
      </c>
      <c r="E61" s="336">
        <v>16</v>
      </c>
      <c r="F61" s="337">
        <v>0.52</v>
      </c>
      <c r="G61" s="345"/>
      <c r="H61" s="337">
        <v>0.25</v>
      </c>
      <c r="I61" s="345"/>
      <c r="J61" s="337">
        <v>2821.69</v>
      </c>
      <c r="K61" s="345"/>
      <c r="L61" s="338">
        <v>400</v>
      </c>
      <c r="M61" s="338"/>
      <c r="N61" s="323"/>
      <c r="O61" s="323"/>
    </row>
    <row r="62" spans="2:15" x14ac:dyDescent="0.25">
      <c r="B62" s="336" t="s">
        <v>317</v>
      </c>
      <c r="C62" s="336">
        <v>134</v>
      </c>
      <c r="D62" s="336" t="s">
        <v>11</v>
      </c>
      <c r="E62" s="336">
        <v>16</v>
      </c>
      <c r="F62" s="337">
        <v>0.52</v>
      </c>
      <c r="G62" s="345"/>
      <c r="H62" s="337"/>
      <c r="I62" s="345"/>
      <c r="J62" s="337">
        <v>2821.69</v>
      </c>
      <c r="K62" s="345"/>
      <c r="L62" s="338">
        <v>400</v>
      </c>
      <c r="M62" s="338"/>
      <c r="N62" s="323"/>
      <c r="O62" s="323"/>
    </row>
    <row r="63" spans="2:15" x14ac:dyDescent="0.25">
      <c r="B63" s="336" t="s">
        <v>317</v>
      </c>
      <c r="C63" s="336">
        <v>134</v>
      </c>
      <c r="D63" s="336" t="s">
        <v>307</v>
      </c>
      <c r="E63" s="336">
        <v>12</v>
      </c>
      <c r="F63" s="337">
        <v>0.61</v>
      </c>
      <c r="G63" s="345">
        <v>0.60199999999999998</v>
      </c>
      <c r="H63" s="337">
        <v>0.28999999999999998</v>
      </c>
      <c r="I63" s="345">
        <v>0.28100000000000003</v>
      </c>
      <c r="J63" s="337">
        <v>3310.06</v>
      </c>
      <c r="K63" s="345">
        <v>3176.0639999999999</v>
      </c>
      <c r="L63" s="338">
        <v>400</v>
      </c>
      <c r="M63" s="338">
        <v>400</v>
      </c>
      <c r="N63" s="323"/>
      <c r="O63" s="323"/>
    </row>
    <row r="64" spans="2:15" x14ac:dyDescent="0.25">
      <c r="B64" s="329" t="s">
        <v>317</v>
      </c>
      <c r="C64" s="329">
        <v>135</v>
      </c>
      <c r="D64" s="329" t="s">
        <v>12</v>
      </c>
      <c r="E64" s="329">
        <v>16</v>
      </c>
      <c r="F64" s="342">
        <v>0.88</v>
      </c>
      <c r="G64" s="342"/>
      <c r="H64" s="342">
        <v>0.42</v>
      </c>
      <c r="I64" s="346"/>
      <c r="J64" s="342">
        <v>4775.16</v>
      </c>
      <c r="K64" s="346"/>
      <c r="L64" s="343">
        <v>800</v>
      </c>
      <c r="M64" s="343"/>
      <c r="N64" s="323"/>
      <c r="O64" s="323"/>
    </row>
    <row r="65" spans="2:15" x14ac:dyDescent="0.25">
      <c r="B65" s="329" t="s">
        <v>317</v>
      </c>
      <c r="C65" s="329">
        <v>135</v>
      </c>
      <c r="D65" s="329" t="s">
        <v>11</v>
      </c>
      <c r="E65" s="329">
        <v>16</v>
      </c>
      <c r="F65" s="342">
        <v>0.88</v>
      </c>
      <c r="G65" s="342"/>
      <c r="H65" s="342"/>
      <c r="I65" s="346"/>
      <c r="J65" s="342">
        <v>4775.16</v>
      </c>
      <c r="K65" s="346"/>
      <c r="L65" s="343">
        <v>800</v>
      </c>
      <c r="M65" s="343"/>
      <c r="N65" s="323"/>
      <c r="O65" s="323"/>
    </row>
    <row r="66" spans="2:15" x14ac:dyDescent="0.25">
      <c r="B66" s="329" t="s">
        <v>317</v>
      </c>
      <c r="C66" s="329">
        <v>135</v>
      </c>
      <c r="D66" s="329" t="s">
        <v>307</v>
      </c>
      <c r="E66" s="329">
        <v>12</v>
      </c>
      <c r="F66" s="342">
        <v>0.79</v>
      </c>
      <c r="G66" s="342">
        <v>0.77200000000000002</v>
      </c>
      <c r="H66" s="342">
        <v>0.38</v>
      </c>
      <c r="I66" s="346">
        <v>0.36099999999999999</v>
      </c>
      <c r="J66" s="342">
        <v>4286.79</v>
      </c>
      <c r="K66" s="346">
        <v>4074.4569999999999</v>
      </c>
      <c r="L66" s="343">
        <v>800</v>
      </c>
      <c r="M66" s="343">
        <v>800</v>
      </c>
      <c r="N66" s="323"/>
      <c r="O66" s="323"/>
    </row>
    <row r="67" spans="2:15" x14ac:dyDescent="0.25">
      <c r="B67" s="336" t="s">
        <v>317</v>
      </c>
      <c r="C67" s="336">
        <v>239</v>
      </c>
      <c r="D67" s="336" t="s">
        <v>12</v>
      </c>
      <c r="E67" s="336">
        <v>16</v>
      </c>
      <c r="F67" s="337">
        <v>1.55</v>
      </c>
      <c r="G67" s="345"/>
      <c r="H67" s="337">
        <v>0.74</v>
      </c>
      <c r="I67" s="345"/>
      <c r="J67" s="337">
        <v>8410.7999999999993</v>
      </c>
      <c r="K67" s="345"/>
      <c r="L67" s="338">
        <v>800</v>
      </c>
      <c r="M67" s="338"/>
      <c r="N67" s="323"/>
      <c r="O67" s="323"/>
    </row>
    <row r="68" spans="2:15" x14ac:dyDescent="0.25">
      <c r="B68" s="336" t="s">
        <v>317</v>
      </c>
      <c r="C68" s="336">
        <v>239</v>
      </c>
      <c r="D68" s="336" t="s">
        <v>11</v>
      </c>
      <c r="E68" s="336">
        <v>16</v>
      </c>
      <c r="F68" s="337">
        <v>1.55</v>
      </c>
      <c r="G68" s="345"/>
      <c r="H68" s="337"/>
      <c r="I68" s="345"/>
      <c r="J68" s="337">
        <v>8410.7999999999993</v>
      </c>
      <c r="K68" s="345"/>
      <c r="L68" s="338">
        <v>800</v>
      </c>
      <c r="M68" s="338"/>
      <c r="N68" s="323"/>
      <c r="O68" s="323"/>
    </row>
    <row r="69" spans="2:15" x14ac:dyDescent="0.25">
      <c r="B69" s="336" t="s">
        <v>317</v>
      </c>
      <c r="C69" s="336">
        <v>239</v>
      </c>
      <c r="D69" s="336" t="s">
        <v>307</v>
      </c>
      <c r="E69" s="336">
        <v>12</v>
      </c>
      <c r="F69" s="337">
        <v>1.39</v>
      </c>
      <c r="G69" s="345">
        <v>1.367</v>
      </c>
      <c r="H69" s="337">
        <v>0.67</v>
      </c>
      <c r="I69" s="345">
        <v>0.68899999999999995</v>
      </c>
      <c r="J69" s="337">
        <v>7542.59</v>
      </c>
      <c r="K69" s="345">
        <v>7213.2979999999998</v>
      </c>
      <c r="L69" s="338">
        <v>800</v>
      </c>
      <c r="M69" s="338">
        <v>800</v>
      </c>
      <c r="N69" s="323"/>
      <c r="O69" s="323"/>
    </row>
    <row r="70" spans="2:15" x14ac:dyDescent="0.25">
      <c r="B70" s="329" t="s">
        <v>317</v>
      </c>
      <c r="C70" s="329">
        <v>240</v>
      </c>
      <c r="D70" s="329" t="s">
        <v>12</v>
      </c>
      <c r="E70" s="329">
        <v>14.5</v>
      </c>
      <c r="F70" s="342">
        <v>1.24</v>
      </c>
      <c r="G70" s="342"/>
      <c r="H70" s="342"/>
      <c r="I70" s="346"/>
      <c r="J70" s="342">
        <v>6728.64</v>
      </c>
      <c r="K70" s="346"/>
      <c r="L70" s="343">
        <v>1017</v>
      </c>
      <c r="M70" s="343"/>
      <c r="N70" s="323"/>
      <c r="O70" s="323"/>
    </row>
    <row r="71" spans="2:15" x14ac:dyDescent="0.25">
      <c r="B71" s="329" t="s">
        <v>317</v>
      </c>
      <c r="C71" s="329">
        <v>240</v>
      </c>
      <c r="D71" s="329" t="s">
        <v>11</v>
      </c>
      <c r="E71" s="329">
        <v>14.5</v>
      </c>
      <c r="F71" s="342">
        <v>1.24</v>
      </c>
      <c r="G71" s="342"/>
      <c r="H71" s="342"/>
      <c r="I71" s="346"/>
      <c r="J71" s="342">
        <v>6728.64</v>
      </c>
      <c r="K71" s="346"/>
      <c r="L71" s="343">
        <v>1017</v>
      </c>
      <c r="M71" s="343"/>
      <c r="N71" s="323"/>
      <c r="O71" s="323"/>
    </row>
    <row r="72" spans="2:15" x14ac:dyDescent="0.25">
      <c r="B72" s="329" t="s">
        <v>317</v>
      </c>
      <c r="C72" s="329">
        <v>240</v>
      </c>
      <c r="D72" s="329" t="s">
        <v>307</v>
      </c>
      <c r="E72" s="329">
        <v>11</v>
      </c>
      <c r="F72" s="342">
        <v>1.71</v>
      </c>
      <c r="G72" s="342">
        <v>1.647</v>
      </c>
      <c r="H72" s="342">
        <v>0.82</v>
      </c>
      <c r="I72" s="346">
        <v>0.77</v>
      </c>
      <c r="J72" s="342">
        <v>9279.01</v>
      </c>
      <c r="K72" s="346">
        <v>8692.0169999999998</v>
      </c>
      <c r="L72" s="343">
        <v>1402</v>
      </c>
      <c r="M72" s="343">
        <v>1350.54</v>
      </c>
      <c r="N72" s="323"/>
      <c r="O72" s="323"/>
    </row>
    <row r="73" spans="2:15" x14ac:dyDescent="0.25">
      <c r="B73" s="336" t="s">
        <v>317</v>
      </c>
      <c r="C73" s="336">
        <v>759</v>
      </c>
      <c r="D73" s="336" t="s">
        <v>12</v>
      </c>
      <c r="E73" s="336">
        <v>14.5</v>
      </c>
      <c r="F73" s="337">
        <v>3.94</v>
      </c>
      <c r="G73" s="345"/>
      <c r="H73" s="337"/>
      <c r="I73" s="345"/>
      <c r="J73" s="337">
        <v>21379.71</v>
      </c>
      <c r="K73" s="345"/>
      <c r="L73" s="338">
        <v>3231</v>
      </c>
      <c r="M73" s="338"/>
      <c r="N73" s="323"/>
      <c r="O73" s="323"/>
    </row>
    <row r="74" spans="2:15" x14ac:dyDescent="0.25">
      <c r="B74" s="336" t="s">
        <v>317</v>
      </c>
      <c r="C74" s="336">
        <v>759</v>
      </c>
      <c r="D74" s="336" t="s">
        <v>11</v>
      </c>
      <c r="E74" s="336">
        <v>14.5</v>
      </c>
      <c r="F74" s="337">
        <v>3.94</v>
      </c>
      <c r="G74" s="345"/>
      <c r="H74" s="337"/>
      <c r="I74" s="345"/>
      <c r="J74" s="337">
        <v>21379.71</v>
      </c>
      <c r="K74" s="345"/>
      <c r="L74" s="338">
        <v>3231</v>
      </c>
      <c r="M74" s="338"/>
      <c r="N74" s="323"/>
      <c r="O74" s="323"/>
    </row>
    <row r="75" spans="2:15" x14ac:dyDescent="0.25">
      <c r="B75" s="336" t="s">
        <v>317</v>
      </c>
      <c r="C75" s="336">
        <v>759</v>
      </c>
      <c r="D75" s="336" t="s">
        <v>307</v>
      </c>
      <c r="E75" s="336">
        <v>11</v>
      </c>
      <c r="F75" s="337">
        <v>5.41</v>
      </c>
      <c r="G75" s="345">
        <v>5.2089999999999996</v>
      </c>
      <c r="H75" s="337">
        <v>2.6</v>
      </c>
      <c r="I75" s="345">
        <v>2.4350000000000001</v>
      </c>
      <c r="J75" s="337">
        <v>29356.400000000001</v>
      </c>
      <c r="K75" s="345">
        <v>27488.504000000001</v>
      </c>
      <c r="L75" s="338">
        <v>4436</v>
      </c>
      <c r="M75" s="338">
        <v>4271.08</v>
      </c>
      <c r="N75" s="323"/>
      <c r="O75" s="323"/>
    </row>
    <row r="76" spans="2:15" x14ac:dyDescent="0.25">
      <c r="B76" s="329" t="s">
        <v>317</v>
      </c>
      <c r="C76" s="329">
        <v>760</v>
      </c>
      <c r="D76" s="329" t="s">
        <v>12</v>
      </c>
      <c r="E76" s="329">
        <v>14</v>
      </c>
      <c r="F76" s="342">
        <v>4.93</v>
      </c>
      <c r="G76" s="342"/>
      <c r="H76" s="342"/>
      <c r="I76" s="346"/>
      <c r="J76" s="342">
        <v>26751.759999999998</v>
      </c>
      <c r="K76" s="346"/>
      <c r="L76" s="343">
        <v>4043</v>
      </c>
      <c r="M76" s="343"/>
      <c r="N76" s="323"/>
      <c r="O76" s="323"/>
    </row>
    <row r="77" spans="2:15" x14ac:dyDescent="0.25">
      <c r="B77" s="329" t="s">
        <v>317</v>
      </c>
      <c r="C77" s="329">
        <v>760</v>
      </c>
      <c r="D77" s="329" t="s">
        <v>11</v>
      </c>
      <c r="E77" s="329">
        <v>14</v>
      </c>
      <c r="F77" s="342">
        <v>4.93</v>
      </c>
      <c r="G77" s="342"/>
      <c r="H77" s="342"/>
      <c r="I77" s="346"/>
      <c r="J77" s="342">
        <v>26751.759999999998</v>
      </c>
      <c r="K77" s="346"/>
      <c r="L77" s="343">
        <v>4043</v>
      </c>
      <c r="M77" s="343"/>
      <c r="N77" s="323"/>
      <c r="O77" s="323"/>
    </row>
    <row r="78" spans="2:15" x14ac:dyDescent="0.25">
      <c r="B78" s="329" t="s">
        <v>317</v>
      </c>
      <c r="C78" s="329">
        <v>760</v>
      </c>
      <c r="D78" s="329" t="s">
        <v>307</v>
      </c>
      <c r="E78" s="329">
        <v>10.4</v>
      </c>
      <c r="F78" s="342">
        <v>4.43</v>
      </c>
      <c r="G78" s="342">
        <v>3.9769999999999999</v>
      </c>
      <c r="H78" s="342">
        <v>2.13</v>
      </c>
      <c r="I78" s="346">
        <v>1.859</v>
      </c>
      <c r="J78" s="342">
        <v>24038.6</v>
      </c>
      <c r="K78" s="346">
        <v>20990.981</v>
      </c>
      <c r="L78" s="343">
        <v>3633</v>
      </c>
      <c r="M78" s="343">
        <v>3261.52</v>
      </c>
      <c r="N78" s="323"/>
      <c r="O78" s="323"/>
    </row>
  </sheetData>
  <sheetProtection algorithmName="SHA-512" hashValue="JY7ge0SIIt/sylKCCegMQGPxX1Jecxzn/DHWixbT6IEmFuI5hjoQjEyEtOGews1VfQ6a2AhialPPxbwigZR0wA==" saltValue="2HIe44PNQFC/+X8UOvrsUw=="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26E5-9083-4B5C-B1AB-8B91537ABBBD}">
  <dimension ref="A1:BB80"/>
  <sheetViews>
    <sheetView topLeftCell="P41" zoomScale="85" zoomScaleNormal="85" workbookViewId="0">
      <selection activeCell="AQ41" sqref="AQ41"/>
    </sheetView>
  </sheetViews>
  <sheetFormatPr defaultColWidth="9.1796875" defaultRowHeight="12.5" x14ac:dyDescent="0.25"/>
  <cols>
    <col min="1" max="1" width="5.54296875" style="3" customWidth="1"/>
    <col min="2" max="2" width="16.26953125" style="3" customWidth="1"/>
    <col min="3" max="3" width="8.81640625" style="3" bestFit="1" customWidth="1"/>
    <col min="4" max="4" width="11.81640625" style="3" hidden="1" customWidth="1"/>
    <col min="5" max="5" width="12.7265625" style="3" hidden="1" customWidth="1"/>
    <col min="6" max="6" width="9.26953125" style="3" hidden="1" customWidth="1"/>
    <col min="7" max="7" width="10.453125" style="3" hidden="1" customWidth="1"/>
    <col min="8" max="9" width="9.26953125" style="3" hidden="1" customWidth="1"/>
    <col min="10" max="10" width="13.1796875" style="3" hidden="1" customWidth="1"/>
    <col min="11" max="11" width="12.7265625" style="3" hidden="1" customWidth="1"/>
    <col min="12" max="12" width="14" style="225" hidden="1" customWidth="1"/>
    <col min="13" max="13" width="12.7265625" style="226" hidden="1" customWidth="1"/>
    <col min="14" max="14" width="42.26953125" style="223" hidden="1" customWidth="1"/>
    <col min="15" max="15" width="94.7265625" style="223" hidden="1" customWidth="1"/>
    <col min="16" max="54" width="9.1796875" style="223"/>
    <col min="55" max="16384" width="9.1796875" style="3"/>
  </cols>
  <sheetData>
    <row r="1" spans="1:15" ht="13" x14ac:dyDescent="0.3">
      <c r="B1" s="220"/>
      <c r="C1" s="220"/>
      <c r="D1" s="220"/>
      <c r="E1" s="220"/>
      <c r="F1" s="221" t="s">
        <v>318</v>
      </c>
      <c r="G1" s="221" t="s">
        <v>319</v>
      </c>
      <c r="H1" s="221" t="s">
        <v>318</v>
      </c>
      <c r="I1" s="221" t="s">
        <v>319</v>
      </c>
      <c r="J1" s="221" t="s">
        <v>318</v>
      </c>
      <c r="K1" s="221" t="s">
        <v>319</v>
      </c>
      <c r="L1" s="221" t="s">
        <v>318</v>
      </c>
      <c r="M1" s="221" t="s">
        <v>319</v>
      </c>
    </row>
    <row r="2" spans="1:15" ht="13" x14ac:dyDescent="0.3">
      <c r="B2" s="321" t="s">
        <v>291</v>
      </c>
      <c r="C2" s="321" t="s">
        <v>292</v>
      </c>
      <c r="D2" s="321" t="s">
        <v>293</v>
      </c>
      <c r="E2" s="321" t="s">
        <v>294</v>
      </c>
      <c r="F2" s="322" t="s">
        <v>295</v>
      </c>
      <c r="G2" s="322"/>
      <c r="H2" s="322" t="s">
        <v>296</v>
      </c>
      <c r="I2" s="322"/>
      <c r="J2" s="322" t="s">
        <v>297</v>
      </c>
      <c r="K2" s="322"/>
      <c r="L2" s="322" t="s">
        <v>298</v>
      </c>
      <c r="M2" s="322"/>
      <c r="N2" s="347" t="s">
        <v>320</v>
      </c>
      <c r="O2" s="347" t="s">
        <v>321</v>
      </c>
    </row>
    <row r="3" spans="1:15" x14ac:dyDescent="0.25">
      <c r="A3" s="224"/>
      <c r="B3" s="324" t="s">
        <v>301</v>
      </c>
      <c r="C3" s="324">
        <v>64</v>
      </c>
      <c r="D3" s="324" t="s">
        <v>81</v>
      </c>
      <c r="E3" s="324">
        <v>15.5</v>
      </c>
      <c r="F3" s="325"/>
      <c r="G3" s="326"/>
      <c r="H3" s="325"/>
      <c r="I3" s="326"/>
      <c r="J3" s="325"/>
      <c r="K3" s="326"/>
      <c r="L3" s="327"/>
      <c r="M3" s="328"/>
      <c r="N3" s="323"/>
      <c r="O3" s="329"/>
    </row>
    <row r="4" spans="1:15" x14ac:dyDescent="0.25">
      <c r="A4" s="224"/>
      <c r="B4" s="324" t="s">
        <v>302</v>
      </c>
      <c r="C4" s="324">
        <v>64</v>
      </c>
      <c r="D4" s="324" t="s">
        <v>9</v>
      </c>
      <c r="E4" s="324">
        <v>15.5</v>
      </c>
      <c r="F4" s="325"/>
      <c r="G4" s="326"/>
      <c r="H4" s="325"/>
      <c r="I4" s="326"/>
      <c r="J4" s="325"/>
      <c r="K4" s="326"/>
      <c r="L4" s="327"/>
      <c r="M4" s="328"/>
      <c r="N4" s="323"/>
      <c r="O4" s="323"/>
    </row>
    <row r="5" spans="1:15" x14ac:dyDescent="0.25">
      <c r="A5" s="224"/>
      <c r="B5" s="324" t="s">
        <v>302</v>
      </c>
      <c r="C5" s="324">
        <v>64</v>
      </c>
      <c r="D5" s="324" t="s">
        <v>87</v>
      </c>
      <c r="E5" s="324">
        <v>15.5</v>
      </c>
      <c r="F5" s="325"/>
      <c r="G5" s="326"/>
      <c r="H5" s="325"/>
      <c r="I5" s="326"/>
      <c r="J5" s="325"/>
      <c r="K5" s="326"/>
      <c r="L5" s="327"/>
      <c r="M5" s="328"/>
      <c r="N5" s="323"/>
      <c r="O5" s="329"/>
    </row>
    <row r="6" spans="1:15" x14ac:dyDescent="0.25">
      <c r="A6" s="224"/>
      <c r="B6" s="329" t="s">
        <v>302</v>
      </c>
      <c r="C6" s="329">
        <v>65</v>
      </c>
      <c r="D6" s="329" t="s">
        <v>12</v>
      </c>
      <c r="E6" s="329">
        <v>16</v>
      </c>
      <c r="F6" s="330"/>
      <c r="G6" s="331"/>
      <c r="H6" s="330"/>
      <c r="I6" s="331"/>
      <c r="J6" s="330"/>
      <c r="K6" s="331"/>
      <c r="L6" s="332"/>
      <c r="M6" s="333"/>
      <c r="N6" s="323"/>
      <c r="O6" s="323"/>
    </row>
    <row r="7" spans="1:15" x14ac:dyDescent="0.25">
      <c r="A7" s="224"/>
      <c r="B7" s="329" t="s">
        <v>302</v>
      </c>
      <c r="C7" s="329">
        <v>65</v>
      </c>
      <c r="D7" s="329" t="s">
        <v>11</v>
      </c>
      <c r="E7" s="329">
        <v>16</v>
      </c>
      <c r="F7" s="330"/>
      <c r="G7" s="331"/>
      <c r="H7" s="330"/>
      <c r="I7" s="331"/>
      <c r="J7" s="330"/>
      <c r="K7" s="331"/>
      <c r="L7" s="332"/>
      <c r="M7" s="333"/>
      <c r="N7" s="323"/>
      <c r="O7" s="323"/>
    </row>
    <row r="8" spans="1:15" x14ac:dyDescent="0.25">
      <c r="A8" s="224"/>
      <c r="B8" s="329" t="s">
        <v>302</v>
      </c>
      <c r="C8" s="329">
        <v>65</v>
      </c>
      <c r="D8" s="329" t="s">
        <v>307</v>
      </c>
      <c r="E8" s="329">
        <v>12</v>
      </c>
      <c r="F8" s="330"/>
      <c r="G8" s="331"/>
      <c r="H8" s="330"/>
      <c r="I8" s="331"/>
      <c r="J8" s="330"/>
      <c r="K8" s="331"/>
      <c r="L8" s="332"/>
      <c r="M8" s="333"/>
      <c r="N8" s="323"/>
      <c r="O8" s="323"/>
    </row>
    <row r="9" spans="1:15" x14ac:dyDescent="0.25">
      <c r="A9" s="224"/>
      <c r="B9" s="324" t="s">
        <v>302</v>
      </c>
      <c r="C9" s="324">
        <v>134</v>
      </c>
      <c r="D9" s="324" t="s">
        <v>12</v>
      </c>
      <c r="E9" s="324">
        <v>16</v>
      </c>
      <c r="F9" s="325"/>
      <c r="G9" s="326"/>
      <c r="H9" s="325"/>
      <c r="I9" s="326"/>
      <c r="J9" s="325"/>
      <c r="K9" s="326"/>
      <c r="L9" s="327"/>
      <c r="M9" s="328"/>
      <c r="N9" s="323"/>
      <c r="O9" s="323"/>
    </row>
    <row r="10" spans="1:15" x14ac:dyDescent="0.25">
      <c r="A10" s="224"/>
      <c r="B10" s="324" t="s">
        <v>302</v>
      </c>
      <c r="C10" s="324">
        <v>134</v>
      </c>
      <c r="D10" s="324" t="s">
        <v>11</v>
      </c>
      <c r="E10" s="324">
        <v>16</v>
      </c>
      <c r="F10" s="325"/>
      <c r="G10" s="326"/>
      <c r="H10" s="325"/>
      <c r="I10" s="326"/>
      <c r="J10" s="325"/>
      <c r="K10" s="326"/>
      <c r="L10" s="327"/>
      <c r="M10" s="328"/>
      <c r="N10" s="323"/>
      <c r="O10" s="323"/>
    </row>
    <row r="11" spans="1:15" x14ac:dyDescent="0.25">
      <c r="A11" s="224"/>
      <c r="B11" s="324" t="s">
        <v>302</v>
      </c>
      <c r="C11" s="324">
        <v>134</v>
      </c>
      <c r="D11" s="324" t="s">
        <v>307</v>
      </c>
      <c r="E11" s="324">
        <v>12</v>
      </c>
      <c r="F11" s="325"/>
      <c r="G11" s="326"/>
      <c r="H11" s="325"/>
      <c r="I11" s="326"/>
      <c r="J11" s="325"/>
      <c r="K11" s="326"/>
      <c r="L11" s="327"/>
      <c r="M11" s="328"/>
      <c r="N11" s="323"/>
      <c r="O11" s="323"/>
    </row>
    <row r="12" spans="1:15" x14ac:dyDescent="0.25">
      <c r="A12" s="224"/>
      <c r="B12" s="329" t="s">
        <v>302</v>
      </c>
      <c r="C12" s="329">
        <v>135</v>
      </c>
      <c r="D12" s="329" t="s">
        <v>12</v>
      </c>
      <c r="E12" s="329">
        <v>16</v>
      </c>
      <c r="F12" s="330"/>
      <c r="G12" s="331"/>
      <c r="H12" s="330"/>
      <c r="I12" s="331"/>
      <c r="J12" s="330"/>
      <c r="K12" s="331"/>
      <c r="L12" s="332"/>
      <c r="M12" s="333"/>
      <c r="N12" s="323"/>
      <c r="O12" s="323"/>
    </row>
    <row r="13" spans="1:15" x14ac:dyDescent="0.25">
      <c r="A13" s="224"/>
      <c r="B13" s="329" t="s">
        <v>302</v>
      </c>
      <c r="C13" s="329">
        <v>135</v>
      </c>
      <c r="D13" s="329" t="s">
        <v>11</v>
      </c>
      <c r="E13" s="329">
        <v>16</v>
      </c>
      <c r="F13" s="330"/>
      <c r="G13" s="331"/>
      <c r="H13" s="330"/>
      <c r="I13" s="331"/>
      <c r="J13" s="330"/>
      <c r="K13" s="331"/>
      <c r="L13" s="332"/>
      <c r="M13" s="333"/>
      <c r="N13" s="323"/>
      <c r="O13" s="323"/>
    </row>
    <row r="14" spans="1:15" x14ac:dyDescent="0.25">
      <c r="A14" s="224"/>
      <c r="B14" s="329" t="s">
        <v>302</v>
      </c>
      <c r="C14" s="329">
        <v>135</v>
      </c>
      <c r="D14" s="329" t="s">
        <v>307</v>
      </c>
      <c r="E14" s="329">
        <v>12</v>
      </c>
      <c r="F14" s="330"/>
      <c r="G14" s="331"/>
      <c r="H14" s="330"/>
      <c r="I14" s="331"/>
      <c r="J14" s="330"/>
      <c r="K14" s="331"/>
      <c r="L14" s="332"/>
      <c r="M14" s="333"/>
      <c r="N14" s="323"/>
      <c r="O14" s="323"/>
    </row>
    <row r="15" spans="1:15" x14ac:dyDescent="0.25">
      <c r="A15" s="224"/>
      <c r="B15" s="324" t="s">
        <v>302</v>
      </c>
      <c r="C15" s="324">
        <v>239</v>
      </c>
      <c r="D15" s="324" t="s">
        <v>12</v>
      </c>
      <c r="E15" s="324">
        <v>16</v>
      </c>
      <c r="F15" s="325"/>
      <c r="G15" s="326"/>
      <c r="H15" s="325"/>
      <c r="I15" s="326"/>
      <c r="J15" s="325"/>
      <c r="K15" s="326"/>
      <c r="L15" s="327"/>
      <c r="M15" s="328"/>
      <c r="N15" s="323"/>
      <c r="O15" s="323"/>
    </row>
    <row r="16" spans="1:15" x14ac:dyDescent="0.25">
      <c r="A16" s="224"/>
      <c r="B16" s="324" t="s">
        <v>302</v>
      </c>
      <c r="C16" s="324">
        <v>239</v>
      </c>
      <c r="D16" s="324" t="s">
        <v>11</v>
      </c>
      <c r="E16" s="324">
        <v>16</v>
      </c>
      <c r="F16" s="325"/>
      <c r="G16" s="326"/>
      <c r="H16" s="325"/>
      <c r="I16" s="326"/>
      <c r="J16" s="325"/>
      <c r="K16" s="326"/>
      <c r="L16" s="327"/>
      <c r="M16" s="328"/>
      <c r="N16" s="323"/>
      <c r="O16" s="323"/>
    </row>
    <row r="17" spans="1:15" x14ac:dyDescent="0.25">
      <c r="A17" s="224"/>
      <c r="B17" s="324" t="s">
        <v>302</v>
      </c>
      <c r="C17" s="324">
        <v>239</v>
      </c>
      <c r="D17" s="324" t="s">
        <v>307</v>
      </c>
      <c r="E17" s="324">
        <v>12</v>
      </c>
      <c r="F17" s="325"/>
      <c r="G17" s="326"/>
      <c r="H17" s="325"/>
      <c r="I17" s="326"/>
      <c r="J17" s="325"/>
      <c r="K17" s="326"/>
      <c r="L17" s="327"/>
      <c r="M17" s="328"/>
      <c r="N17" s="323"/>
      <c r="O17" s="323"/>
    </row>
    <row r="18" spans="1:15" x14ac:dyDescent="0.25">
      <c r="A18" s="224"/>
      <c r="B18" s="329" t="s">
        <v>302</v>
      </c>
      <c r="C18" s="329">
        <v>240</v>
      </c>
      <c r="D18" s="329" t="s">
        <v>12</v>
      </c>
      <c r="E18" s="329">
        <v>14.5</v>
      </c>
      <c r="F18" s="330"/>
      <c r="G18" s="331"/>
      <c r="H18" s="330"/>
      <c r="I18" s="331"/>
      <c r="J18" s="330"/>
      <c r="K18" s="331"/>
      <c r="L18" s="332"/>
      <c r="M18" s="333"/>
      <c r="N18" s="323"/>
      <c r="O18" s="323"/>
    </row>
    <row r="19" spans="1:15" x14ac:dyDescent="0.25">
      <c r="A19" s="224"/>
      <c r="B19" s="329" t="s">
        <v>302</v>
      </c>
      <c r="C19" s="329">
        <v>240</v>
      </c>
      <c r="D19" s="329" t="s">
        <v>11</v>
      </c>
      <c r="E19" s="329">
        <v>14.5</v>
      </c>
      <c r="F19" s="330"/>
      <c r="G19" s="331"/>
      <c r="H19" s="330"/>
      <c r="I19" s="331"/>
      <c r="J19" s="330"/>
      <c r="K19" s="331"/>
      <c r="L19" s="332"/>
      <c r="M19" s="333"/>
      <c r="N19" s="323"/>
      <c r="O19" s="323"/>
    </row>
    <row r="20" spans="1:15" x14ac:dyDescent="0.25">
      <c r="A20" s="224"/>
      <c r="B20" s="329" t="s">
        <v>302</v>
      </c>
      <c r="C20" s="329">
        <v>240</v>
      </c>
      <c r="D20" s="329" t="s">
        <v>307</v>
      </c>
      <c r="E20" s="329">
        <v>11</v>
      </c>
      <c r="F20" s="330"/>
      <c r="G20" s="331"/>
      <c r="H20" s="330"/>
      <c r="I20" s="331"/>
      <c r="J20" s="330"/>
      <c r="K20" s="331"/>
      <c r="L20" s="332"/>
      <c r="M20" s="333"/>
      <c r="N20" s="323"/>
      <c r="O20" s="323"/>
    </row>
    <row r="21" spans="1:15" x14ac:dyDescent="0.25">
      <c r="A21" s="224"/>
      <c r="B21" s="324" t="s">
        <v>302</v>
      </c>
      <c r="C21" s="324">
        <v>759</v>
      </c>
      <c r="D21" s="324" t="s">
        <v>12</v>
      </c>
      <c r="E21" s="324">
        <v>14.5</v>
      </c>
      <c r="F21" s="325"/>
      <c r="G21" s="326"/>
      <c r="H21" s="325"/>
      <c r="I21" s="326"/>
      <c r="J21" s="325"/>
      <c r="K21" s="326"/>
      <c r="L21" s="327"/>
      <c r="M21" s="328"/>
      <c r="N21" s="323"/>
      <c r="O21" s="323"/>
    </row>
    <row r="22" spans="1:15" x14ac:dyDescent="0.25">
      <c r="A22" s="224"/>
      <c r="B22" s="324" t="s">
        <v>302</v>
      </c>
      <c r="C22" s="324">
        <v>759</v>
      </c>
      <c r="D22" s="324" t="s">
        <v>11</v>
      </c>
      <c r="E22" s="324">
        <v>14.5</v>
      </c>
      <c r="F22" s="325"/>
      <c r="G22" s="326"/>
      <c r="H22" s="325"/>
      <c r="I22" s="326"/>
      <c r="J22" s="325"/>
      <c r="K22" s="326"/>
      <c r="L22" s="327"/>
      <c r="M22" s="328"/>
      <c r="N22" s="323"/>
      <c r="O22" s="323"/>
    </row>
    <row r="23" spans="1:15" x14ac:dyDescent="0.25">
      <c r="A23" s="224"/>
      <c r="B23" s="324" t="s">
        <v>302</v>
      </c>
      <c r="C23" s="324">
        <v>759</v>
      </c>
      <c r="D23" s="324" t="s">
        <v>307</v>
      </c>
      <c r="E23" s="324">
        <v>11</v>
      </c>
      <c r="F23" s="325"/>
      <c r="G23" s="326"/>
      <c r="H23" s="325"/>
      <c r="I23" s="326"/>
      <c r="J23" s="325"/>
      <c r="K23" s="326"/>
      <c r="L23" s="327"/>
      <c r="M23" s="328"/>
      <c r="N23" s="323"/>
      <c r="O23" s="323"/>
    </row>
    <row r="24" spans="1:15" x14ac:dyDescent="0.25">
      <c r="A24" s="224"/>
      <c r="B24" s="329" t="s">
        <v>302</v>
      </c>
      <c r="C24" s="329">
        <v>760</v>
      </c>
      <c r="D24" s="329" t="s">
        <v>12</v>
      </c>
      <c r="E24" s="329">
        <v>14</v>
      </c>
      <c r="F24" s="330"/>
      <c r="G24" s="331"/>
      <c r="H24" s="330"/>
      <c r="I24" s="331"/>
      <c r="J24" s="330"/>
      <c r="K24" s="331"/>
      <c r="L24" s="332"/>
      <c r="M24" s="333"/>
      <c r="N24" s="323"/>
      <c r="O24" s="323"/>
    </row>
    <row r="25" spans="1:15" x14ac:dyDescent="0.25">
      <c r="A25" s="224"/>
      <c r="B25" s="329" t="s">
        <v>302</v>
      </c>
      <c r="C25" s="329">
        <v>760</v>
      </c>
      <c r="D25" s="329" t="s">
        <v>11</v>
      </c>
      <c r="E25" s="329">
        <v>14</v>
      </c>
      <c r="F25" s="330"/>
      <c r="G25" s="331"/>
      <c r="H25" s="330"/>
      <c r="I25" s="331"/>
      <c r="J25" s="330"/>
      <c r="K25" s="331"/>
      <c r="L25" s="332"/>
      <c r="M25" s="333"/>
      <c r="N25" s="323"/>
      <c r="O25" s="323"/>
    </row>
    <row r="26" spans="1:15" s="223" customFormat="1" x14ac:dyDescent="0.25">
      <c r="A26" s="224"/>
      <c r="B26" s="329" t="s">
        <v>302</v>
      </c>
      <c r="C26" s="329">
        <v>760</v>
      </c>
      <c r="D26" s="329" t="s">
        <v>307</v>
      </c>
      <c r="E26" s="329">
        <v>10.4</v>
      </c>
      <c r="F26" s="330"/>
      <c r="G26" s="331"/>
      <c r="H26" s="330"/>
      <c r="I26" s="331"/>
      <c r="J26" s="330"/>
      <c r="K26" s="331"/>
      <c r="L26" s="332"/>
      <c r="M26" s="333"/>
      <c r="N26" s="323"/>
      <c r="O26" s="323"/>
    </row>
    <row r="27" spans="1:15" s="223" customFormat="1" x14ac:dyDescent="0.25">
      <c r="A27" s="224"/>
      <c r="B27" s="227"/>
      <c r="C27" s="227"/>
      <c r="D27" s="227"/>
      <c r="E27" s="227"/>
      <c r="F27" s="231"/>
      <c r="G27" s="232"/>
      <c r="H27" s="231"/>
      <c r="I27" s="232"/>
      <c r="J27" s="231"/>
      <c r="K27" s="232"/>
      <c r="L27" s="233"/>
      <c r="M27" s="234"/>
      <c r="N27" s="230"/>
      <c r="O27" s="230"/>
    </row>
    <row r="28" spans="1:15" s="223" customFormat="1" ht="13" x14ac:dyDescent="0.3">
      <c r="A28" s="3"/>
      <c r="B28" s="3"/>
      <c r="C28" s="3"/>
      <c r="D28" s="3"/>
      <c r="E28" s="3"/>
      <c r="F28" s="221" t="s">
        <v>318</v>
      </c>
      <c r="G28" s="221" t="s">
        <v>319</v>
      </c>
      <c r="H28" s="221" t="s">
        <v>318</v>
      </c>
      <c r="I28" s="221" t="s">
        <v>319</v>
      </c>
      <c r="J28" s="221" t="s">
        <v>318</v>
      </c>
      <c r="K28" s="221" t="s">
        <v>319</v>
      </c>
      <c r="L28" s="221" t="s">
        <v>318</v>
      </c>
      <c r="M28" s="221" t="s">
        <v>319</v>
      </c>
    </row>
    <row r="29" spans="1:15" s="223" customFormat="1" ht="13" x14ac:dyDescent="0.3">
      <c r="A29" s="3"/>
      <c r="B29" s="334" t="s">
        <v>291</v>
      </c>
      <c r="C29" s="334" t="s">
        <v>292</v>
      </c>
      <c r="D29" s="334" t="s">
        <v>293</v>
      </c>
      <c r="E29" s="334" t="s">
        <v>294</v>
      </c>
      <c r="F29" s="322" t="s">
        <v>295</v>
      </c>
      <c r="G29" s="322"/>
      <c r="H29" s="322" t="s">
        <v>296</v>
      </c>
      <c r="I29" s="322"/>
      <c r="J29" s="322" t="s">
        <v>297</v>
      </c>
      <c r="K29" s="322"/>
      <c r="L29" s="322" t="s">
        <v>298</v>
      </c>
      <c r="M29" s="322"/>
      <c r="N29" s="347" t="s">
        <v>320</v>
      </c>
      <c r="O29" s="347" t="s">
        <v>321</v>
      </c>
    </row>
    <row r="30" spans="1:15" s="223" customFormat="1" x14ac:dyDescent="0.25">
      <c r="A30" s="3"/>
      <c r="B30" s="336" t="s">
        <v>308</v>
      </c>
      <c r="C30" s="336">
        <v>64</v>
      </c>
      <c r="D30" s="336" t="s">
        <v>81</v>
      </c>
      <c r="E30" s="336">
        <v>13</v>
      </c>
      <c r="F30" s="337"/>
      <c r="G30" s="337"/>
      <c r="H30" s="337"/>
      <c r="I30" s="337"/>
      <c r="J30" s="337"/>
      <c r="K30" s="337"/>
      <c r="L30" s="338"/>
      <c r="M30" s="338"/>
      <c r="N30" s="323"/>
      <c r="O30" s="339"/>
    </row>
    <row r="31" spans="1:15" s="223" customFormat="1" x14ac:dyDescent="0.25">
      <c r="A31" s="3"/>
      <c r="B31" s="336" t="s">
        <v>311</v>
      </c>
      <c r="C31" s="336">
        <v>64</v>
      </c>
      <c r="D31" s="336" t="s">
        <v>9</v>
      </c>
      <c r="E31" s="336">
        <v>15</v>
      </c>
      <c r="F31" s="337"/>
      <c r="G31" s="337"/>
      <c r="H31" s="337"/>
      <c r="I31" s="337"/>
      <c r="J31" s="337"/>
      <c r="K31" s="337"/>
      <c r="L31" s="338"/>
      <c r="M31" s="338"/>
      <c r="N31" s="323"/>
      <c r="O31" s="323"/>
    </row>
    <row r="32" spans="1:15" s="223" customFormat="1" x14ac:dyDescent="0.25">
      <c r="A32" s="3"/>
      <c r="B32" s="336" t="s">
        <v>311</v>
      </c>
      <c r="C32" s="336">
        <v>64</v>
      </c>
      <c r="D32" s="336" t="s">
        <v>87</v>
      </c>
      <c r="E32" s="336">
        <v>13</v>
      </c>
      <c r="F32" s="340"/>
      <c r="G32" s="340"/>
      <c r="H32" s="340"/>
      <c r="I32" s="340"/>
      <c r="J32" s="340"/>
      <c r="K32" s="340"/>
      <c r="L32" s="341"/>
      <c r="M32" s="341"/>
      <c r="N32" s="323"/>
      <c r="O32" s="339"/>
    </row>
    <row r="33" spans="1:15" s="223" customFormat="1" x14ac:dyDescent="0.25">
      <c r="A33" s="3"/>
      <c r="B33" s="329" t="s">
        <v>311</v>
      </c>
      <c r="C33" s="329">
        <v>65</v>
      </c>
      <c r="D33" s="329" t="s">
        <v>12</v>
      </c>
      <c r="E33" s="329">
        <v>16</v>
      </c>
      <c r="F33" s="342"/>
      <c r="G33" s="342"/>
      <c r="H33" s="342"/>
      <c r="I33" s="342"/>
      <c r="J33" s="342"/>
      <c r="K33" s="342"/>
      <c r="L33" s="343"/>
      <c r="M33" s="343"/>
      <c r="N33" s="323"/>
      <c r="O33" s="323"/>
    </row>
    <row r="34" spans="1:15" s="223" customFormat="1" x14ac:dyDescent="0.25">
      <c r="A34" s="3"/>
      <c r="B34" s="329" t="s">
        <v>311</v>
      </c>
      <c r="C34" s="329">
        <v>65</v>
      </c>
      <c r="D34" s="329" t="s">
        <v>11</v>
      </c>
      <c r="E34" s="329">
        <v>16</v>
      </c>
      <c r="F34" s="342"/>
      <c r="G34" s="342"/>
      <c r="H34" s="342"/>
      <c r="I34" s="342"/>
      <c r="J34" s="342"/>
      <c r="K34" s="342"/>
      <c r="L34" s="343"/>
      <c r="M34" s="343"/>
      <c r="N34" s="323"/>
      <c r="O34" s="323"/>
    </row>
    <row r="35" spans="1:15" s="223" customFormat="1" x14ac:dyDescent="0.25">
      <c r="A35" s="3"/>
      <c r="B35" s="329" t="s">
        <v>311</v>
      </c>
      <c r="C35" s="329">
        <v>65</v>
      </c>
      <c r="D35" s="329" t="s">
        <v>307</v>
      </c>
      <c r="E35" s="329">
        <v>12</v>
      </c>
      <c r="F35" s="342"/>
      <c r="G35" s="342"/>
      <c r="H35" s="342"/>
      <c r="I35" s="342"/>
      <c r="J35" s="342"/>
      <c r="K35" s="342"/>
      <c r="L35" s="343"/>
      <c r="M35" s="343"/>
      <c r="N35" s="323"/>
      <c r="O35" s="323"/>
    </row>
    <row r="36" spans="1:15" s="223" customFormat="1" x14ac:dyDescent="0.25">
      <c r="A36" s="3"/>
      <c r="B36" s="336" t="s">
        <v>311</v>
      </c>
      <c r="C36" s="336">
        <v>134</v>
      </c>
      <c r="D36" s="336" t="s">
        <v>12</v>
      </c>
      <c r="E36" s="336">
        <v>16</v>
      </c>
      <c r="F36" s="337"/>
      <c r="G36" s="337"/>
      <c r="H36" s="337"/>
      <c r="I36" s="337"/>
      <c r="J36" s="337"/>
      <c r="K36" s="337"/>
      <c r="L36" s="338"/>
      <c r="M36" s="338"/>
      <c r="N36" s="323"/>
      <c r="O36" s="323"/>
    </row>
    <row r="37" spans="1:15" s="223" customFormat="1" x14ac:dyDescent="0.25">
      <c r="A37" s="3"/>
      <c r="B37" s="336" t="s">
        <v>311</v>
      </c>
      <c r="C37" s="336">
        <v>134</v>
      </c>
      <c r="D37" s="336" t="s">
        <v>11</v>
      </c>
      <c r="E37" s="336">
        <v>16</v>
      </c>
      <c r="F37" s="337"/>
      <c r="G37" s="337"/>
      <c r="H37" s="337"/>
      <c r="I37" s="337"/>
      <c r="J37" s="337"/>
      <c r="K37" s="337"/>
      <c r="L37" s="338"/>
      <c r="M37" s="338"/>
      <c r="N37" s="323"/>
      <c r="O37" s="323"/>
    </row>
    <row r="38" spans="1:15" s="223" customFormat="1" x14ac:dyDescent="0.25">
      <c r="A38" s="3"/>
      <c r="B38" s="336" t="s">
        <v>311</v>
      </c>
      <c r="C38" s="336">
        <v>134</v>
      </c>
      <c r="D38" s="336" t="s">
        <v>307</v>
      </c>
      <c r="E38" s="336">
        <v>12</v>
      </c>
      <c r="F38" s="337"/>
      <c r="G38" s="337"/>
      <c r="H38" s="337"/>
      <c r="I38" s="337"/>
      <c r="J38" s="337"/>
      <c r="K38" s="337"/>
      <c r="L38" s="338"/>
      <c r="M38" s="338"/>
      <c r="N38" s="323"/>
      <c r="O38" s="323"/>
    </row>
    <row r="39" spans="1:15" s="223" customFormat="1" x14ac:dyDescent="0.25">
      <c r="A39" s="3"/>
      <c r="B39" s="329" t="s">
        <v>311</v>
      </c>
      <c r="C39" s="329">
        <v>135</v>
      </c>
      <c r="D39" s="329" t="s">
        <v>12</v>
      </c>
      <c r="E39" s="329">
        <v>16</v>
      </c>
      <c r="F39" s="342"/>
      <c r="G39" s="342"/>
      <c r="H39" s="342"/>
      <c r="I39" s="342"/>
      <c r="J39" s="342"/>
      <c r="K39" s="342"/>
      <c r="L39" s="343"/>
      <c r="M39" s="343"/>
      <c r="N39" s="323"/>
      <c r="O39" s="323"/>
    </row>
    <row r="40" spans="1:15" s="223" customFormat="1" x14ac:dyDescent="0.25">
      <c r="A40" s="3"/>
      <c r="B40" s="329" t="s">
        <v>311</v>
      </c>
      <c r="C40" s="329">
        <v>135</v>
      </c>
      <c r="D40" s="329" t="s">
        <v>11</v>
      </c>
      <c r="E40" s="329">
        <v>16</v>
      </c>
      <c r="F40" s="342"/>
      <c r="G40" s="342"/>
      <c r="H40" s="342"/>
      <c r="I40" s="342"/>
      <c r="J40" s="342"/>
      <c r="K40" s="342"/>
      <c r="L40" s="343"/>
      <c r="M40" s="343"/>
      <c r="N40" s="323"/>
      <c r="O40" s="323"/>
    </row>
    <row r="41" spans="1:15" s="223" customFormat="1" x14ac:dyDescent="0.25">
      <c r="A41" s="3"/>
      <c r="B41" s="329" t="s">
        <v>311</v>
      </c>
      <c r="C41" s="329">
        <v>135</v>
      </c>
      <c r="D41" s="329" t="s">
        <v>307</v>
      </c>
      <c r="E41" s="329">
        <v>12</v>
      </c>
      <c r="F41" s="342"/>
      <c r="G41" s="342"/>
      <c r="H41" s="342"/>
      <c r="I41" s="342"/>
      <c r="J41" s="342"/>
      <c r="K41" s="342"/>
      <c r="L41" s="343"/>
      <c r="M41" s="343"/>
      <c r="N41" s="323"/>
      <c r="O41" s="323"/>
    </row>
    <row r="42" spans="1:15" s="223" customFormat="1" x14ac:dyDescent="0.25">
      <c r="A42" s="3"/>
      <c r="B42" s="336" t="s">
        <v>311</v>
      </c>
      <c r="C42" s="336">
        <v>239</v>
      </c>
      <c r="D42" s="336" t="s">
        <v>12</v>
      </c>
      <c r="E42" s="336">
        <v>16</v>
      </c>
      <c r="F42" s="337"/>
      <c r="G42" s="337"/>
      <c r="H42" s="337"/>
      <c r="I42" s="337"/>
      <c r="J42" s="337"/>
      <c r="K42" s="337"/>
      <c r="L42" s="338"/>
      <c r="M42" s="338"/>
      <c r="N42" s="323"/>
      <c r="O42" s="323"/>
    </row>
    <row r="43" spans="1:15" s="223" customFormat="1" x14ac:dyDescent="0.25">
      <c r="A43" s="3"/>
      <c r="B43" s="336" t="s">
        <v>311</v>
      </c>
      <c r="C43" s="336">
        <v>239</v>
      </c>
      <c r="D43" s="336" t="s">
        <v>11</v>
      </c>
      <c r="E43" s="336">
        <v>16</v>
      </c>
      <c r="F43" s="337"/>
      <c r="G43" s="337"/>
      <c r="H43" s="337"/>
      <c r="I43" s="337"/>
      <c r="J43" s="337"/>
      <c r="K43" s="337"/>
      <c r="L43" s="338"/>
      <c r="M43" s="338"/>
      <c r="N43" s="323"/>
      <c r="O43" s="323"/>
    </row>
    <row r="44" spans="1:15" s="223" customFormat="1" x14ac:dyDescent="0.25">
      <c r="A44" s="3"/>
      <c r="B44" s="336" t="s">
        <v>311</v>
      </c>
      <c r="C44" s="336">
        <v>239</v>
      </c>
      <c r="D44" s="336" t="s">
        <v>307</v>
      </c>
      <c r="E44" s="336">
        <v>12</v>
      </c>
      <c r="F44" s="337"/>
      <c r="G44" s="337"/>
      <c r="H44" s="337"/>
      <c r="I44" s="337"/>
      <c r="J44" s="337"/>
      <c r="K44" s="337"/>
      <c r="L44" s="338"/>
      <c r="M44" s="338"/>
      <c r="N44" s="323"/>
      <c r="O44" s="323"/>
    </row>
    <row r="45" spans="1:15" s="223" customFormat="1" x14ac:dyDescent="0.25">
      <c r="A45" s="3"/>
      <c r="B45" s="329" t="s">
        <v>311</v>
      </c>
      <c r="C45" s="329">
        <v>240</v>
      </c>
      <c r="D45" s="329" t="s">
        <v>12</v>
      </c>
      <c r="E45" s="329">
        <v>14.5</v>
      </c>
      <c r="F45" s="342"/>
      <c r="G45" s="342"/>
      <c r="H45" s="342"/>
      <c r="I45" s="342"/>
      <c r="J45" s="342"/>
      <c r="K45" s="342"/>
      <c r="L45" s="343"/>
      <c r="M45" s="343"/>
      <c r="N45" s="323"/>
      <c r="O45" s="323"/>
    </row>
    <row r="46" spans="1:15" s="223" customFormat="1" x14ac:dyDescent="0.25">
      <c r="A46" s="3"/>
      <c r="B46" s="329" t="s">
        <v>311</v>
      </c>
      <c r="C46" s="329">
        <v>240</v>
      </c>
      <c r="D46" s="329" t="s">
        <v>11</v>
      </c>
      <c r="E46" s="329">
        <v>14.5</v>
      </c>
      <c r="F46" s="342"/>
      <c r="G46" s="342"/>
      <c r="H46" s="342"/>
      <c r="I46" s="342"/>
      <c r="J46" s="342"/>
      <c r="K46" s="342"/>
      <c r="L46" s="343"/>
      <c r="M46" s="343"/>
      <c r="N46" s="323"/>
      <c r="O46" s="323"/>
    </row>
    <row r="47" spans="1:15" s="223" customFormat="1" x14ac:dyDescent="0.25">
      <c r="A47" s="3"/>
      <c r="B47" s="329" t="s">
        <v>311</v>
      </c>
      <c r="C47" s="329">
        <v>240</v>
      </c>
      <c r="D47" s="329" t="s">
        <v>307</v>
      </c>
      <c r="E47" s="329">
        <v>11</v>
      </c>
      <c r="F47" s="342"/>
      <c r="G47" s="342"/>
      <c r="H47" s="342"/>
      <c r="I47" s="342"/>
      <c r="J47" s="342"/>
      <c r="K47" s="342"/>
      <c r="L47" s="343"/>
      <c r="M47" s="343"/>
      <c r="N47" s="323"/>
      <c r="O47" s="323"/>
    </row>
    <row r="48" spans="1:15" s="223" customFormat="1" x14ac:dyDescent="0.25">
      <c r="A48" s="3"/>
      <c r="B48" s="336" t="s">
        <v>311</v>
      </c>
      <c r="C48" s="336">
        <v>759</v>
      </c>
      <c r="D48" s="336" t="s">
        <v>12</v>
      </c>
      <c r="E48" s="336">
        <v>14.5</v>
      </c>
      <c r="F48" s="337"/>
      <c r="G48" s="337"/>
      <c r="H48" s="337"/>
      <c r="I48" s="337"/>
      <c r="J48" s="337"/>
      <c r="K48" s="337"/>
      <c r="L48" s="338"/>
      <c r="M48" s="338"/>
      <c r="N48" s="323"/>
      <c r="O48" s="323"/>
    </row>
    <row r="49" spans="1:15" s="223" customFormat="1" x14ac:dyDescent="0.25">
      <c r="A49" s="3"/>
      <c r="B49" s="336" t="s">
        <v>311</v>
      </c>
      <c r="C49" s="336">
        <v>759</v>
      </c>
      <c r="D49" s="336" t="s">
        <v>11</v>
      </c>
      <c r="E49" s="336">
        <v>14.5</v>
      </c>
      <c r="F49" s="337"/>
      <c r="G49" s="337"/>
      <c r="H49" s="337"/>
      <c r="I49" s="337"/>
      <c r="J49" s="337"/>
      <c r="K49" s="337"/>
      <c r="L49" s="338"/>
      <c r="M49" s="338"/>
      <c r="N49" s="323"/>
      <c r="O49" s="323"/>
    </row>
    <row r="50" spans="1:15" s="223" customFormat="1" x14ac:dyDescent="0.25">
      <c r="A50" s="3"/>
      <c r="B50" s="336" t="s">
        <v>311</v>
      </c>
      <c r="C50" s="336">
        <v>759</v>
      </c>
      <c r="D50" s="336" t="s">
        <v>307</v>
      </c>
      <c r="E50" s="336">
        <v>11</v>
      </c>
      <c r="F50" s="337"/>
      <c r="G50" s="337"/>
      <c r="H50" s="337"/>
      <c r="I50" s="337"/>
      <c r="J50" s="337"/>
      <c r="K50" s="337"/>
      <c r="L50" s="338"/>
      <c r="M50" s="338"/>
      <c r="N50" s="323"/>
      <c r="O50" s="323"/>
    </row>
    <row r="51" spans="1:15" s="223" customFormat="1" x14ac:dyDescent="0.25">
      <c r="A51" s="3"/>
      <c r="B51" s="329" t="s">
        <v>311</v>
      </c>
      <c r="C51" s="329">
        <v>760</v>
      </c>
      <c r="D51" s="329" t="s">
        <v>12</v>
      </c>
      <c r="E51" s="329">
        <v>14</v>
      </c>
      <c r="F51" s="342"/>
      <c r="G51" s="342"/>
      <c r="H51" s="342"/>
      <c r="I51" s="342"/>
      <c r="J51" s="342"/>
      <c r="K51" s="342"/>
      <c r="L51" s="343"/>
      <c r="M51" s="343"/>
      <c r="N51" s="323"/>
      <c r="O51" s="323"/>
    </row>
    <row r="52" spans="1:15" s="223" customFormat="1" x14ac:dyDescent="0.25">
      <c r="A52" s="3"/>
      <c r="B52" s="329" t="s">
        <v>311</v>
      </c>
      <c r="C52" s="329">
        <v>760</v>
      </c>
      <c r="D52" s="329" t="s">
        <v>11</v>
      </c>
      <c r="E52" s="329">
        <v>14</v>
      </c>
      <c r="F52" s="342"/>
      <c r="G52" s="342"/>
      <c r="H52" s="342"/>
      <c r="I52" s="342"/>
      <c r="J52" s="342"/>
      <c r="K52" s="342"/>
      <c r="L52" s="343"/>
      <c r="M52" s="343"/>
      <c r="N52" s="323"/>
      <c r="O52" s="323"/>
    </row>
    <row r="53" spans="1:15" s="223" customFormat="1" x14ac:dyDescent="0.25">
      <c r="A53" s="3"/>
      <c r="B53" s="329" t="s">
        <v>311</v>
      </c>
      <c r="C53" s="329">
        <v>760</v>
      </c>
      <c r="D53" s="329" t="s">
        <v>307</v>
      </c>
      <c r="E53" s="329">
        <v>10.4</v>
      </c>
      <c r="F53" s="342"/>
      <c r="G53" s="342"/>
      <c r="H53" s="342"/>
      <c r="I53" s="342"/>
      <c r="J53" s="342"/>
      <c r="K53" s="342"/>
      <c r="L53" s="343"/>
      <c r="M53" s="343"/>
      <c r="N53" s="323"/>
      <c r="O53" s="323"/>
    </row>
    <row r="54" spans="1:15" s="223" customFormat="1" x14ac:dyDescent="0.25">
      <c r="A54" s="3"/>
      <c r="B54" s="227"/>
      <c r="C54" s="227"/>
      <c r="D54" s="227"/>
      <c r="E54" s="227"/>
      <c r="F54" s="228"/>
      <c r="G54" s="228"/>
      <c r="H54" s="228"/>
      <c r="I54" s="228"/>
      <c r="J54" s="228"/>
      <c r="K54" s="228"/>
      <c r="L54" s="229"/>
      <c r="M54" s="229"/>
      <c r="N54" s="230"/>
      <c r="O54" s="230"/>
    </row>
    <row r="55" spans="1:15" ht="13" x14ac:dyDescent="0.3">
      <c r="F55" s="221" t="s">
        <v>318</v>
      </c>
      <c r="G55" s="221" t="s">
        <v>319</v>
      </c>
      <c r="H55" s="221" t="s">
        <v>318</v>
      </c>
      <c r="I55" s="221" t="s">
        <v>319</v>
      </c>
      <c r="J55" s="221" t="s">
        <v>318</v>
      </c>
      <c r="K55" s="221" t="s">
        <v>319</v>
      </c>
      <c r="L55" s="221" t="s">
        <v>318</v>
      </c>
      <c r="M55" s="221" t="s">
        <v>319</v>
      </c>
    </row>
    <row r="56" spans="1:15" s="223" customFormat="1" ht="13" x14ac:dyDescent="0.3">
      <c r="A56" s="3"/>
      <c r="B56" s="334" t="s">
        <v>291</v>
      </c>
      <c r="C56" s="334" t="s">
        <v>292</v>
      </c>
      <c r="D56" s="334" t="s">
        <v>293</v>
      </c>
      <c r="E56" s="334" t="s">
        <v>294</v>
      </c>
      <c r="F56" s="322" t="s">
        <v>295</v>
      </c>
      <c r="G56" s="322" t="s">
        <v>290</v>
      </c>
      <c r="H56" s="322" t="s">
        <v>296</v>
      </c>
      <c r="I56" s="322" t="s">
        <v>290</v>
      </c>
      <c r="J56" s="322" t="s">
        <v>297</v>
      </c>
      <c r="K56" s="322" t="s">
        <v>290</v>
      </c>
      <c r="L56" s="322" t="s">
        <v>298</v>
      </c>
      <c r="M56" s="322"/>
      <c r="N56" s="347" t="s">
        <v>320</v>
      </c>
      <c r="O56" s="347" t="s">
        <v>321</v>
      </c>
    </row>
    <row r="57" spans="1:15" s="223" customFormat="1" x14ac:dyDescent="0.25">
      <c r="A57" s="3"/>
      <c r="B57" s="336" t="s">
        <v>316</v>
      </c>
      <c r="C57" s="336">
        <v>64</v>
      </c>
      <c r="D57" s="336" t="s">
        <v>81</v>
      </c>
      <c r="E57" s="336">
        <v>13</v>
      </c>
      <c r="F57" s="337"/>
      <c r="G57" s="345"/>
      <c r="H57" s="337"/>
      <c r="I57" s="345"/>
      <c r="J57" s="337"/>
      <c r="K57" s="345"/>
      <c r="L57" s="338"/>
      <c r="M57" s="338"/>
      <c r="N57" s="323"/>
      <c r="O57" s="339"/>
    </row>
    <row r="58" spans="1:15" s="223" customFormat="1" x14ac:dyDescent="0.25">
      <c r="A58" s="3"/>
      <c r="B58" s="336" t="s">
        <v>317</v>
      </c>
      <c r="C58" s="336">
        <v>64</v>
      </c>
      <c r="D58" s="336" t="s">
        <v>9</v>
      </c>
      <c r="E58" s="336">
        <v>15</v>
      </c>
      <c r="F58" s="337"/>
      <c r="G58" s="345"/>
      <c r="H58" s="337"/>
      <c r="I58" s="345"/>
      <c r="J58" s="337"/>
      <c r="K58" s="345"/>
      <c r="L58" s="338"/>
      <c r="M58" s="338"/>
      <c r="N58" s="323"/>
      <c r="O58" s="323"/>
    </row>
    <row r="59" spans="1:15" s="223" customFormat="1" x14ac:dyDescent="0.25">
      <c r="A59" s="3"/>
      <c r="B59" s="336" t="s">
        <v>317</v>
      </c>
      <c r="C59" s="336">
        <v>64</v>
      </c>
      <c r="D59" s="336" t="s">
        <v>87</v>
      </c>
      <c r="E59" s="336">
        <v>13</v>
      </c>
      <c r="F59" s="340"/>
      <c r="G59" s="345"/>
      <c r="H59" s="340"/>
      <c r="I59" s="345"/>
      <c r="J59" s="340"/>
      <c r="K59" s="345"/>
      <c r="L59" s="341"/>
      <c r="M59" s="341"/>
      <c r="N59" s="323"/>
      <c r="O59" s="339"/>
    </row>
    <row r="60" spans="1:15" s="223" customFormat="1" x14ac:dyDescent="0.25">
      <c r="A60" s="3"/>
      <c r="B60" s="329" t="s">
        <v>317</v>
      </c>
      <c r="C60" s="329">
        <v>65</v>
      </c>
      <c r="D60" s="329" t="s">
        <v>12</v>
      </c>
      <c r="E60" s="329">
        <v>16</v>
      </c>
      <c r="F60" s="342"/>
      <c r="G60" s="342"/>
      <c r="H60" s="342"/>
      <c r="I60" s="346"/>
      <c r="J60" s="342"/>
      <c r="K60" s="346"/>
      <c r="L60" s="343"/>
      <c r="M60" s="343"/>
      <c r="N60" s="323"/>
      <c r="O60" s="323"/>
    </row>
    <row r="61" spans="1:15" s="223" customFormat="1" x14ac:dyDescent="0.25">
      <c r="A61" s="3"/>
      <c r="B61" s="329" t="s">
        <v>317</v>
      </c>
      <c r="C61" s="329">
        <v>65</v>
      </c>
      <c r="D61" s="329" t="s">
        <v>11</v>
      </c>
      <c r="E61" s="329">
        <v>16</v>
      </c>
      <c r="F61" s="342"/>
      <c r="G61" s="342"/>
      <c r="H61" s="342"/>
      <c r="I61" s="346"/>
      <c r="J61" s="342"/>
      <c r="K61" s="346"/>
      <c r="L61" s="343"/>
      <c r="M61" s="343"/>
      <c r="N61" s="323"/>
      <c r="O61" s="323"/>
    </row>
    <row r="62" spans="1:15" s="223" customFormat="1" x14ac:dyDescent="0.25">
      <c r="A62" s="3"/>
      <c r="B62" s="329" t="s">
        <v>317</v>
      </c>
      <c r="C62" s="329">
        <v>65</v>
      </c>
      <c r="D62" s="329" t="s">
        <v>307</v>
      </c>
      <c r="E62" s="329">
        <v>12</v>
      </c>
      <c r="F62" s="342"/>
      <c r="G62" s="342"/>
      <c r="H62" s="342"/>
      <c r="I62" s="346"/>
      <c r="J62" s="342"/>
      <c r="K62" s="346"/>
      <c r="L62" s="343"/>
      <c r="M62" s="343"/>
      <c r="N62" s="323"/>
      <c r="O62" s="323"/>
    </row>
    <row r="63" spans="1:15" s="223" customFormat="1" x14ac:dyDescent="0.25">
      <c r="A63" s="3"/>
      <c r="B63" s="336" t="s">
        <v>317</v>
      </c>
      <c r="C63" s="336">
        <v>134</v>
      </c>
      <c r="D63" s="336" t="s">
        <v>12</v>
      </c>
      <c r="E63" s="336">
        <v>16</v>
      </c>
      <c r="F63" s="337"/>
      <c r="G63" s="345"/>
      <c r="H63" s="337"/>
      <c r="I63" s="345"/>
      <c r="J63" s="337"/>
      <c r="K63" s="345"/>
      <c r="L63" s="338"/>
      <c r="M63" s="338"/>
      <c r="N63" s="323"/>
      <c r="O63" s="323"/>
    </row>
    <row r="64" spans="1:15" s="223" customFormat="1" x14ac:dyDescent="0.25">
      <c r="A64" s="3"/>
      <c r="B64" s="336" t="s">
        <v>317</v>
      </c>
      <c r="C64" s="336">
        <v>134</v>
      </c>
      <c r="D64" s="336" t="s">
        <v>11</v>
      </c>
      <c r="E64" s="336">
        <v>16</v>
      </c>
      <c r="F64" s="337"/>
      <c r="G64" s="345"/>
      <c r="H64" s="337"/>
      <c r="I64" s="345"/>
      <c r="J64" s="337"/>
      <c r="K64" s="345"/>
      <c r="L64" s="338"/>
      <c r="M64" s="338"/>
      <c r="N64" s="323"/>
      <c r="O64" s="323"/>
    </row>
    <row r="65" spans="1:15" s="223" customFormat="1" x14ac:dyDescent="0.25">
      <c r="A65" s="3"/>
      <c r="B65" s="336" t="s">
        <v>317</v>
      </c>
      <c r="C65" s="336">
        <v>134</v>
      </c>
      <c r="D65" s="336" t="s">
        <v>307</v>
      </c>
      <c r="E65" s="336">
        <v>12</v>
      </c>
      <c r="F65" s="337"/>
      <c r="G65" s="345"/>
      <c r="H65" s="337"/>
      <c r="I65" s="345"/>
      <c r="J65" s="337"/>
      <c r="K65" s="345"/>
      <c r="L65" s="338"/>
      <c r="M65" s="338"/>
      <c r="N65" s="323"/>
      <c r="O65" s="323"/>
    </row>
    <row r="66" spans="1:15" s="223" customFormat="1" x14ac:dyDescent="0.25">
      <c r="A66" s="3"/>
      <c r="B66" s="329" t="s">
        <v>317</v>
      </c>
      <c r="C66" s="329">
        <v>135</v>
      </c>
      <c r="D66" s="329" t="s">
        <v>12</v>
      </c>
      <c r="E66" s="329">
        <v>16</v>
      </c>
      <c r="F66" s="342"/>
      <c r="G66" s="342"/>
      <c r="H66" s="342"/>
      <c r="I66" s="346"/>
      <c r="J66" s="342"/>
      <c r="K66" s="346"/>
      <c r="L66" s="343"/>
      <c r="M66" s="343"/>
      <c r="N66" s="323"/>
      <c r="O66" s="323"/>
    </row>
    <row r="67" spans="1:15" s="223" customFormat="1" x14ac:dyDescent="0.25">
      <c r="A67" s="3"/>
      <c r="B67" s="329" t="s">
        <v>317</v>
      </c>
      <c r="C67" s="329">
        <v>135</v>
      </c>
      <c r="D67" s="329" t="s">
        <v>11</v>
      </c>
      <c r="E67" s="329">
        <v>16</v>
      </c>
      <c r="F67" s="342"/>
      <c r="G67" s="342"/>
      <c r="H67" s="342"/>
      <c r="I67" s="346"/>
      <c r="J67" s="342"/>
      <c r="K67" s="346"/>
      <c r="L67" s="343"/>
      <c r="M67" s="343"/>
      <c r="N67" s="323"/>
      <c r="O67" s="323"/>
    </row>
    <row r="68" spans="1:15" s="223" customFormat="1" x14ac:dyDescent="0.25">
      <c r="A68" s="3"/>
      <c r="B68" s="329" t="s">
        <v>317</v>
      </c>
      <c r="C68" s="329">
        <v>135</v>
      </c>
      <c r="D68" s="329" t="s">
        <v>307</v>
      </c>
      <c r="E68" s="329">
        <v>12</v>
      </c>
      <c r="F68" s="342"/>
      <c r="G68" s="342"/>
      <c r="H68" s="342"/>
      <c r="I68" s="346"/>
      <c r="J68" s="342"/>
      <c r="K68" s="346"/>
      <c r="L68" s="343"/>
      <c r="M68" s="343"/>
      <c r="N68" s="323"/>
      <c r="O68" s="323"/>
    </row>
    <row r="69" spans="1:15" s="223" customFormat="1" x14ac:dyDescent="0.25">
      <c r="A69" s="3"/>
      <c r="B69" s="336" t="s">
        <v>317</v>
      </c>
      <c r="C69" s="336">
        <v>239</v>
      </c>
      <c r="D69" s="336" t="s">
        <v>12</v>
      </c>
      <c r="E69" s="336">
        <v>16</v>
      </c>
      <c r="F69" s="337"/>
      <c r="G69" s="345"/>
      <c r="H69" s="337"/>
      <c r="I69" s="345"/>
      <c r="J69" s="337"/>
      <c r="K69" s="345"/>
      <c r="L69" s="338"/>
      <c r="M69" s="338"/>
      <c r="N69" s="323"/>
      <c r="O69" s="323"/>
    </row>
    <row r="70" spans="1:15" s="223" customFormat="1" x14ac:dyDescent="0.25">
      <c r="A70" s="3"/>
      <c r="B70" s="336" t="s">
        <v>317</v>
      </c>
      <c r="C70" s="336">
        <v>239</v>
      </c>
      <c r="D70" s="336" t="s">
        <v>11</v>
      </c>
      <c r="E70" s="336">
        <v>16</v>
      </c>
      <c r="F70" s="337"/>
      <c r="G70" s="345"/>
      <c r="H70" s="337"/>
      <c r="I70" s="345"/>
      <c r="J70" s="337"/>
      <c r="K70" s="345"/>
      <c r="L70" s="338"/>
      <c r="M70" s="338"/>
      <c r="N70" s="323"/>
      <c r="O70" s="323"/>
    </row>
    <row r="71" spans="1:15" s="223" customFormat="1" x14ac:dyDescent="0.25">
      <c r="A71" s="3"/>
      <c r="B71" s="336" t="s">
        <v>317</v>
      </c>
      <c r="C71" s="336">
        <v>239</v>
      </c>
      <c r="D71" s="336" t="s">
        <v>307</v>
      </c>
      <c r="E71" s="336">
        <v>12</v>
      </c>
      <c r="F71" s="337"/>
      <c r="G71" s="345"/>
      <c r="H71" s="337"/>
      <c r="I71" s="345"/>
      <c r="J71" s="337"/>
      <c r="K71" s="345"/>
      <c r="L71" s="338"/>
      <c r="M71" s="338"/>
      <c r="N71" s="323"/>
      <c r="O71" s="323"/>
    </row>
    <row r="72" spans="1:15" s="223" customFormat="1" x14ac:dyDescent="0.25">
      <c r="A72" s="3"/>
      <c r="B72" s="329" t="s">
        <v>317</v>
      </c>
      <c r="C72" s="329">
        <v>240</v>
      </c>
      <c r="D72" s="329" t="s">
        <v>12</v>
      </c>
      <c r="E72" s="329">
        <v>14.5</v>
      </c>
      <c r="F72" s="342"/>
      <c r="G72" s="342"/>
      <c r="H72" s="342"/>
      <c r="I72" s="346"/>
      <c r="J72" s="342"/>
      <c r="K72" s="346"/>
      <c r="L72" s="343"/>
      <c r="M72" s="343"/>
      <c r="N72" s="323"/>
      <c r="O72" s="323"/>
    </row>
    <row r="73" spans="1:15" s="223" customFormat="1" x14ac:dyDescent="0.25">
      <c r="A73" s="3"/>
      <c r="B73" s="329" t="s">
        <v>317</v>
      </c>
      <c r="C73" s="329">
        <v>240</v>
      </c>
      <c r="D73" s="329" t="s">
        <v>11</v>
      </c>
      <c r="E73" s="329">
        <v>14.5</v>
      </c>
      <c r="F73" s="342"/>
      <c r="G73" s="342"/>
      <c r="H73" s="342"/>
      <c r="I73" s="346"/>
      <c r="J73" s="342"/>
      <c r="K73" s="346"/>
      <c r="L73" s="343"/>
      <c r="M73" s="343"/>
      <c r="N73" s="323"/>
      <c r="O73" s="323"/>
    </row>
    <row r="74" spans="1:15" s="223" customFormat="1" x14ac:dyDescent="0.25">
      <c r="A74" s="3"/>
      <c r="B74" s="329" t="s">
        <v>317</v>
      </c>
      <c r="C74" s="329">
        <v>240</v>
      </c>
      <c r="D74" s="329" t="s">
        <v>307</v>
      </c>
      <c r="E74" s="329">
        <v>11</v>
      </c>
      <c r="F74" s="342"/>
      <c r="G74" s="342"/>
      <c r="H74" s="342"/>
      <c r="I74" s="346"/>
      <c r="J74" s="342"/>
      <c r="K74" s="346"/>
      <c r="L74" s="343"/>
      <c r="M74" s="343"/>
      <c r="N74" s="323"/>
      <c r="O74" s="323"/>
    </row>
    <row r="75" spans="1:15" s="223" customFormat="1" x14ac:dyDescent="0.25">
      <c r="A75" s="3"/>
      <c r="B75" s="336" t="s">
        <v>317</v>
      </c>
      <c r="C75" s="336">
        <v>759</v>
      </c>
      <c r="D75" s="336" t="s">
        <v>12</v>
      </c>
      <c r="E75" s="336">
        <v>14.5</v>
      </c>
      <c r="F75" s="337"/>
      <c r="G75" s="345"/>
      <c r="H75" s="337"/>
      <c r="I75" s="345"/>
      <c r="J75" s="337"/>
      <c r="K75" s="345"/>
      <c r="L75" s="338"/>
      <c r="M75" s="338"/>
      <c r="N75" s="323"/>
      <c r="O75" s="323"/>
    </row>
    <row r="76" spans="1:15" s="223" customFormat="1" x14ac:dyDescent="0.25">
      <c r="A76" s="3"/>
      <c r="B76" s="336" t="s">
        <v>317</v>
      </c>
      <c r="C76" s="336">
        <v>759</v>
      </c>
      <c r="D76" s="336" t="s">
        <v>11</v>
      </c>
      <c r="E76" s="336">
        <v>14.5</v>
      </c>
      <c r="F76" s="337"/>
      <c r="G76" s="345"/>
      <c r="H76" s="337"/>
      <c r="I76" s="345"/>
      <c r="J76" s="337"/>
      <c r="K76" s="345"/>
      <c r="L76" s="338"/>
      <c r="M76" s="338"/>
      <c r="N76" s="323"/>
      <c r="O76" s="323"/>
    </row>
    <row r="77" spans="1:15" s="223" customFormat="1" x14ac:dyDescent="0.25">
      <c r="A77" s="3"/>
      <c r="B77" s="336" t="s">
        <v>317</v>
      </c>
      <c r="C77" s="336">
        <v>759</v>
      </c>
      <c r="D77" s="336" t="s">
        <v>307</v>
      </c>
      <c r="E77" s="336">
        <v>11</v>
      </c>
      <c r="F77" s="337"/>
      <c r="G77" s="345"/>
      <c r="H77" s="337"/>
      <c r="I77" s="345"/>
      <c r="J77" s="337"/>
      <c r="K77" s="345"/>
      <c r="L77" s="338"/>
      <c r="M77" s="338"/>
      <c r="N77" s="323"/>
      <c r="O77" s="323"/>
    </row>
    <row r="78" spans="1:15" s="223" customFormat="1" x14ac:dyDescent="0.25">
      <c r="A78" s="3"/>
      <c r="B78" s="329" t="s">
        <v>317</v>
      </c>
      <c r="C78" s="329">
        <v>760</v>
      </c>
      <c r="D78" s="329" t="s">
        <v>12</v>
      </c>
      <c r="E78" s="329">
        <v>14</v>
      </c>
      <c r="F78" s="342"/>
      <c r="G78" s="342"/>
      <c r="H78" s="342"/>
      <c r="I78" s="346"/>
      <c r="J78" s="342"/>
      <c r="K78" s="346"/>
      <c r="L78" s="343"/>
      <c r="M78" s="343"/>
      <c r="N78" s="323"/>
      <c r="O78" s="323"/>
    </row>
    <row r="79" spans="1:15" s="223" customFormat="1" x14ac:dyDescent="0.25">
      <c r="A79" s="3"/>
      <c r="B79" s="329" t="s">
        <v>317</v>
      </c>
      <c r="C79" s="329">
        <v>760</v>
      </c>
      <c r="D79" s="329" t="s">
        <v>11</v>
      </c>
      <c r="E79" s="329">
        <v>14</v>
      </c>
      <c r="F79" s="342"/>
      <c r="G79" s="342"/>
      <c r="H79" s="342"/>
      <c r="I79" s="346"/>
      <c r="J79" s="342"/>
      <c r="K79" s="346"/>
      <c r="L79" s="343"/>
      <c r="M79" s="343"/>
      <c r="N79" s="323"/>
      <c r="O79" s="323"/>
    </row>
    <row r="80" spans="1:15" s="223" customFormat="1" x14ac:dyDescent="0.25">
      <c r="A80" s="3"/>
      <c r="B80" s="329" t="s">
        <v>317</v>
      </c>
      <c r="C80" s="329">
        <v>760</v>
      </c>
      <c r="D80" s="329" t="s">
        <v>307</v>
      </c>
      <c r="E80" s="329">
        <v>10.4</v>
      </c>
      <c r="F80" s="342"/>
      <c r="G80" s="342"/>
      <c r="H80" s="342"/>
      <c r="I80" s="346"/>
      <c r="J80" s="342"/>
      <c r="K80" s="346"/>
      <c r="L80" s="343"/>
      <c r="M80" s="343"/>
      <c r="N80" s="323"/>
      <c r="O80" s="323"/>
    </row>
  </sheetData>
  <sheetProtection algorithmName="SHA-512" hashValue="RxGBU9g09ewiwf6r/HDrnEOmryBl1AbyC0UH4j8kO19DJT6kiyhz0L6G8Nv1/foClh9dTKMC1pA5ZHROpcRShQ==" saltValue="B6LSviFbgu0ZacAoJf9U7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ACCE93DD3CC745AFB3EC5678DC486F" ma:contentTypeVersion="16" ma:contentTypeDescription="Create a new document." ma:contentTypeScope="" ma:versionID="26a8b6e2a7c06f70d050a6a68d531e9c">
  <xsd:schema xmlns:xsd="http://www.w3.org/2001/XMLSchema" xmlns:xs="http://www.w3.org/2001/XMLSchema" xmlns:p="http://schemas.microsoft.com/office/2006/metadata/properties" xmlns:ns1="http://schemas.microsoft.com/sharepoint/v3" xmlns:ns2="a624c0a4-bd81-4efe-8b3a-0f70bd6a02cb" xmlns:ns3="2e2327f1-c77c-4620-b058-9a9d78636789" targetNamespace="http://schemas.microsoft.com/office/2006/metadata/properties" ma:root="true" ma:fieldsID="90d527274894456e18e9328936d52903" ns1:_="" ns2:_="" ns3:_="">
    <xsd:import namespace="http://schemas.microsoft.com/sharepoint/v3"/>
    <xsd:import namespace="a624c0a4-bd81-4efe-8b3a-0f70bd6a02cb"/>
    <xsd:import namespace="2e2327f1-c77c-4620-b058-9a9d786367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4c0a4-bd81-4efe-8b3a-0f70bd6a0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c379444-718f-4044-93bd-bdc834bc632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327f1-c77c-4620-b058-9a9d7863678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1e3fdf2-324f-4cf7-8b4e-a4d801e19c62}" ma:internalName="TaxCatchAll" ma:showField="CatchAllData" ma:web="2e2327f1-c77c-4620-b058-9a9d786367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2327f1-c77c-4620-b058-9a9d78636789" xsi:nil="true"/>
    <_ip_UnifiedCompliancePolicyProperties xmlns="http://schemas.microsoft.com/sharepoint/v3" xsi:nil="true"/>
    <lcf76f155ced4ddcb4097134ff3c332f xmlns="a624c0a4-bd81-4efe-8b3a-0f70bd6a02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78E740-E200-469E-98CB-263C09D6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24c0a4-bd81-4efe-8b3a-0f70bd6a02cb"/>
    <ds:schemaRef ds:uri="2e2327f1-c77c-4620-b058-9a9d786367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63335A-B442-4D78-965F-50BF4DBC0F94}">
  <ds:schemaRefs>
    <ds:schemaRef ds:uri="http://schemas.microsoft.com/sharepoint/v3/contenttype/forms"/>
  </ds:schemaRefs>
</ds:datastoreItem>
</file>

<file path=customXml/itemProps3.xml><?xml version="1.0" encoding="utf-8"?>
<ds:datastoreItem xmlns:ds="http://schemas.openxmlformats.org/officeDocument/2006/customXml" ds:itemID="{0A5FF76A-4428-42D6-84B5-E7D96BF85EC1}">
  <ds:schemaRefs>
    <ds:schemaRef ds:uri="http://schemas.microsoft.com/office/2006/metadata/properties"/>
    <ds:schemaRef ds:uri="http://schemas.microsoft.com/office/infopath/2007/PartnerControls"/>
    <ds:schemaRef ds:uri="http://schemas.microsoft.com/sharepoint/v3"/>
    <ds:schemaRef ds:uri="2e2327f1-c77c-4620-b058-9a9d78636789"/>
    <ds:schemaRef ds:uri="a624c0a4-bd81-4efe-8b3a-0f70bd6a02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43</vt:i4>
      </vt:variant>
    </vt:vector>
  </HeadingPairs>
  <TitlesOfParts>
    <vt:vector size="49" baseType="lpstr">
      <vt:lpstr>DXAC Prog and Lookup</vt:lpstr>
      <vt:lpstr>ASHRAE Std 90.1</vt:lpstr>
      <vt:lpstr>Vlocity Matrices</vt:lpstr>
      <vt:lpstr>Revisions</vt:lpstr>
      <vt:lpstr>Test 1</vt:lpstr>
      <vt:lpstr>Test 2 04112025</vt:lpstr>
      <vt:lpstr>Base_Efficiency_EER</vt:lpstr>
      <vt:lpstr>BES</vt:lpstr>
      <vt:lpstr>BES_Factor</vt:lpstr>
      <vt:lpstr>Calculated_Base_Efficiency</vt:lpstr>
      <vt:lpstr>Calculated_New_Efficiency</vt:lpstr>
      <vt:lpstr>Capacity_135_Mbtuh</vt:lpstr>
      <vt:lpstr>Capacity_240_Mbtuh</vt:lpstr>
      <vt:lpstr>Capacity_65_Mbtuh</vt:lpstr>
      <vt:lpstr>Capacity_760_Mbtuh</vt:lpstr>
      <vt:lpstr>DX_Inc</vt:lpstr>
      <vt:lpstr>DX_kW_Incent_Table</vt:lpstr>
      <vt:lpstr>DX_kWh</vt:lpstr>
      <vt:lpstr>DX_SkW</vt:lpstr>
      <vt:lpstr>DX_WkW</vt:lpstr>
      <vt:lpstr>EER</vt:lpstr>
      <vt:lpstr>EER2_</vt:lpstr>
      <vt:lpstr>Efficiency_Rating</vt:lpstr>
      <vt:lpstr>FPL_Rebate</vt:lpstr>
      <vt:lpstr>Heat_Pump</vt:lpstr>
      <vt:lpstr>IEER</vt:lpstr>
      <vt:lpstr>IEER_Factor_greater_than_65_Mbtuh</vt:lpstr>
      <vt:lpstr>IEER2</vt:lpstr>
      <vt:lpstr>KW_reduction_at_meter</vt:lpstr>
      <vt:lpstr>kWh_Factor</vt:lpstr>
      <vt:lpstr>kWh_reduction__KWH</vt:lpstr>
      <vt:lpstr>Min_EER2_135_240</vt:lpstr>
      <vt:lpstr>Min_EER2_240_760</vt:lpstr>
      <vt:lpstr>Min_EER2_65_135</vt:lpstr>
      <vt:lpstr>MIN_EER2_760</vt:lpstr>
      <vt:lpstr>Min_SEER2_65</vt:lpstr>
      <vt:lpstr>New_EER_SEER2_IEER</vt:lpstr>
      <vt:lpstr>Rebate_amount</vt:lpstr>
      <vt:lpstr>SEER</vt:lpstr>
      <vt:lpstr>SEER_Factor</vt:lpstr>
      <vt:lpstr>SEER2</vt:lpstr>
      <vt:lpstr>SEER2_Factor_less_than_65_Mbtuh</vt:lpstr>
      <vt:lpstr>Summer_kW_Factor</vt:lpstr>
      <vt:lpstr>Summer_KW_reduction__SKW</vt:lpstr>
      <vt:lpstr>System_Capacity__Mbtuh</vt:lpstr>
      <vt:lpstr>Water_Cooled</vt:lpstr>
      <vt:lpstr>Water_Cooled_Weighted_Average</vt:lpstr>
      <vt:lpstr>Winter_kW_Factor</vt:lpstr>
      <vt:lpstr>Winter_KW_reduction__WKW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FPL BES DXAC Job Detail Page</dc:title>
  <dc:subject/>
  <dc:creator>FPL</dc:creator>
  <cp:keywords/>
  <dc:description/>
  <cp:lastModifiedBy>Murphy, Kelly A</cp:lastModifiedBy>
  <cp:revision/>
  <dcterms:created xsi:type="dcterms:W3CDTF">1999-11-08T16:19:48Z</dcterms:created>
  <dcterms:modified xsi:type="dcterms:W3CDTF">2025-10-06T15:29:54Z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0x010100F3ACCE93DD3CC745AFB3EC5678DC486F</vt:lpwstr>
  </property>
  <property fmtid="{D5CDD505-2E9C-101B-9397-08002B2CF9AE}" pid="3" name="MediaServiceImageTags">
    <vt:lpwstr/>
  </property>
</Properties>
</file>