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e.sharepoint.com/teams/EnterpriseMarketing/Shared Documents/FPL/DSM/Business HVAC/Rebate Calculators/"/>
    </mc:Choice>
  </mc:AlternateContent>
  <xr:revisionPtr revIDLastSave="14" documentId="8_{6ACE28D8-1536-4D7B-BBB3-9721D7F372DF}" xr6:coauthVersionLast="47" xr6:coauthVersionMax="47" xr10:uidLastSave="{091D8A58-0B8B-4000-8F8F-369CBBF99A37}"/>
  <bookViews>
    <workbookView xWindow="30375" yWindow="0" windowWidth="19125" windowHeight="20490" firstSheet="1" activeTab="1" xr2:uid="{32970A61-7F45-4289-A6B7-E2083CB3737F}"/>
  </bookViews>
  <sheets>
    <sheet name="DX" sheetId="1" state="hidden" r:id="rId1"/>
    <sheet name="VFD Calcs" sheetId="4" r:id="rId2"/>
    <sheet name="Vlocity Matrices" sheetId="5" state="hidden" r:id="rId3"/>
    <sheet name="Required Documents" sheetId="6" state="hidden" r:id="rId4"/>
    <sheet name="Sheet1" sheetId="7" state="hidden" r:id="rId5"/>
  </sheets>
  <definedNames>
    <definedName name="KW_reduction_at_meter">DX!$E$59</definedName>
    <definedName name="Method" localSheetId="1">'VFD Calcs'!$C$45</definedName>
    <definedName name="Method" localSheetId="2">'Vlocity Matrices'!$B$45</definedName>
    <definedName name="Power_speed_reduction" localSheetId="1">'VFD Calcs'!$C$42</definedName>
    <definedName name="Power_speed_reduction" localSheetId="2">'Vlocity Matrices'!$B$42</definedName>
    <definedName name="Pump_Power_kW" localSheetId="1">'VFD Calcs'!$C$33</definedName>
    <definedName name="Pump_Power_kW" localSheetId="2">'Vlocity Matrices'!$B$32</definedName>
    <definedName name="VFD_eff_pen" localSheetId="1">'VFD Calcs'!$C$27</definedName>
    <definedName name="VFD_eff_pen" localSheetId="2">'Vlocity Matrices'!#REF!</definedName>
    <definedName name="Water_Cooled">DX!$D$44</definedName>
    <definedName name="Water_Cooled_Weighted_Average">DX!$D$26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4" l="1"/>
  <c r="C32" i="4" s="1"/>
  <c r="C42" i="4"/>
  <c r="B12" i="7"/>
  <c r="J9" i="7"/>
  <c r="I7" i="7"/>
  <c r="I6" i="7"/>
  <c r="I8" i="7" s="1"/>
  <c r="C33" i="4" l="1"/>
  <c r="I2" i="4"/>
  <c r="H6" i="4" s="1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G19" i="4"/>
  <c r="C28" i="4" l="1"/>
  <c r="C34" i="4"/>
  <c r="C29" i="4"/>
  <c r="D17" i="4"/>
  <c r="H17" i="4" s="1"/>
  <c r="D13" i="4"/>
  <c r="D14" i="4"/>
  <c r="H14" i="4" s="1"/>
  <c r="E18" i="4"/>
  <c r="I18" i="4" s="1"/>
  <c r="E16" i="4"/>
  <c r="I16" i="4" s="1"/>
  <c r="D16" i="4"/>
  <c r="H16" i="4" s="1"/>
  <c r="D11" i="4"/>
  <c r="H11" i="4" s="1"/>
  <c r="D7" i="4"/>
  <c r="H7" i="4" s="1"/>
  <c r="E11" i="4"/>
  <c r="I11" i="4" s="1"/>
  <c r="D10" i="4"/>
  <c r="H10" i="4" s="1"/>
  <c r="D9" i="4"/>
  <c r="H9" i="4" s="1"/>
  <c r="D8" i="4"/>
  <c r="H8" i="4" s="1"/>
  <c r="D18" i="4"/>
  <c r="H18" i="4" s="1"/>
  <c r="D12" i="4"/>
  <c r="H12" i="4" s="1"/>
  <c r="E13" i="4"/>
  <c r="I13" i="4" s="1"/>
  <c r="E7" i="4"/>
  <c r="E15" i="4"/>
  <c r="I15" i="4" s="1"/>
  <c r="E10" i="4"/>
  <c r="I10" i="4" s="1"/>
  <c r="E17" i="4"/>
  <c r="I17" i="4" s="1"/>
  <c r="E8" i="4"/>
  <c r="I8" i="4" s="1"/>
  <c r="E9" i="4"/>
  <c r="I9" i="4" s="1"/>
  <c r="D15" i="4"/>
  <c r="E12" i="4"/>
  <c r="I12" i="4" s="1"/>
  <c r="E14" i="4"/>
  <c r="I14" i="4" s="1"/>
  <c r="C36" i="4" l="1"/>
  <c r="C39" i="4" s="1"/>
  <c r="I6" i="4"/>
  <c r="J6" i="4" s="1"/>
  <c r="F11" i="4"/>
  <c r="F17" i="4"/>
  <c r="F16" i="4"/>
  <c r="F7" i="4"/>
  <c r="J11" i="4"/>
  <c r="F13" i="4"/>
  <c r="J10" i="4"/>
  <c r="F10" i="4"/>
  <c r="H13" i="4"/>
  <c r="J13" i="4" s="1"/>
  <c r="J17" i="4"/>
  <c r="J16" i="4"/>
  <c r="F15" i="4"/>
  <c r="F9" i="4"/>
  <c r="I7" i="4"/>
  <c r="J7" i="4" s="1"/>
  <c r="J9" i="4"/>
  <c r="J12" i="4"/>
  <c r="J8" i="4"/>
  <c r="H15" i="4"/>
  <c r="J15" i="4" s="1"/>
  <c r="J18" i="4"/>
  <c r="F18" i="4"/>
  <c r="F8" i="4"/>
  <c r="J14" i="4"/>
  <c r="F14" i="4"/>
  <c r="F12" i="4"/>
  <c r="I19" i="4" l="1"/>
  <c r="H19" i="4"/>
  <c r="J19" i="4"/>
  <c r="S28" i="4" l="1"/>
  <c r="S26" i="4"/>
  <c r="S27" i="4"/>
  <c r="S25" i="4"/>
  <c r="T32" i="4"/>
  <c r="C38" i="4" l="1"/>
  <c r="R59" i="4"/>
  <c r="E62" i="4"/>
  <c r="Y41" i="4"/>
  <c r="S41" i="4" s="1"/>
  <c r="Q41" i="4" s="1"/>
  <c r="E63" i="4"/>
  <c r="S29" i="4" l="1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Y42" i="4"/>
  <c r="S42" i="4" s="1"/>
  <c r="Q42" i="4" s="1"/>
  <c r="Y43" i="4"/>
  <c r="S43" i="4" s="1"/>
  <c r="Q43" i="4" s="1"/>
  <c r="Y44" i="4"/>
  <c r="S44" i="4" s="1"/>
  <c r="Q44" i="4" s="1"/>
  <c r="Y45" i="4"/>
  <c r="S45" i="4" s="1"/>
  <c r="Q45" i="4" s="1"/>
  <c r="Y46" i="4"/>
  <c r="S46" i="4" s="1"/>
  <c r="Q46" i="4" s="1"/>
  <c r="Y47" i="4"/>
  <c r="S47" i="4" s="1"/>
  <c r="Q47" i="4" s="1"/>
  <c r="Y48" i="4"/>
  <c r="S48" i="4" s="1"/>
  <c r="Q48" i="4" s="1"/>
  <c r="Y49" i="4"/>
  <c r="S49" i="4" s="1"/>
  <c r="Q49" i="4" s="1"/>
  <c r="Y50" i="4"/>
  <c r="S50" i="4" s="1"/>
  <c r="Q50" i="4" s="1"/>
  <c r="Y51" i="4"/>
  <c r="S51" i="4" s="1"/>
  <c r="Q51" i="4" s="1"/>
  <c r="Y52" i="4"/>
  <c r="S52" i="4" s="1"/>
  <c r="Q52" i="4" s="1"/>
  <c r="Y53" i="4"/>
  <c r="S53" i="4" s="1"/>
  <c r="Q53" i="4" s="1"/>
  <c r="Y54" i="4"/>
  <c r="S54" i="4" s="1"/>
  <c r="Q54" i="4" s="1"/>
  <c r="Y55" i="4"/>
  <c r="S55" i="4" s="1"/>
  <c r="Q55" i="4" s="1"/>
  <c r="Y56" i="4"/>
  <c r="S56" i="4" s="1"/>
  <c r="Q56" i="4" s="1"/>
  <c r="Y57" i="4"/>
  <c r="S57" i="4" s="1"/>
  <c r="Q57" i="4" s="1"/>
  <c r="Y58" i="4"/>
  <c r="S58" i="4" s="1"/>
  <c r="Q58" i="4" s="1"/>
  <c r="Y59" i="4"/>
  <c r="S59" i="4" s="1"/>
  <c r="Q59" i="4" s="1"/>
  <c r="C37" i="4" l="1"/>
  <c r="U58" i="4"/>
  <c r="U50" i="4"/>
  <c r="U42" i="4"/>
  <c r="U59" i="4"/>
  <c r="U51" i="4"/>
  <c r="U43" i="4"/>
  <c r="U57" i="4"/>
  <c r="U49" i="4"/>
  <c r="U56" i="4"/>
  <c r="U48" i="4"/>
  <c r="U55" i="4"/>
  <c r="U47" i="4"/>
  <c r="U54" i="4"/>
  <c r="U46" i="4"/>
  <c r="U53" i="4"/>
  <c r="U45" i="4"/>
  <c r="U52" i="4"/>
  <c r="U44" i="4"/>
  <c r="U41" i="4"/>
  <c r="E67" i="4"/>
  <c r="E66" i="4"/>
  <c r="E65" i="4"/>
  <c r="E64" i="4"/>
  <c r="X42" i="1" l="1"/>
  <c r="X56" i="1"/>
  <c r="X50" i="1"/>
  <c r="X41" i="1"/>
  <c r="X28" i="1"/>
  <c r="X12" i="1"/>
  <c r="E11" i="1"/>
  <c r="J10" i="1"/>
  <c r="W10" i="1"/>
  <c r="C10" i="1"/>
  <c r="W4" i="1"/>
  <c r="Y58" i="1"/>
  <c r="Y56" i="1" s="1"/>
  <c r="Y12" i="1" l="1"/>
  <c r="Y41" i="1"/>
  <c r="Y50" i="1"/>
  <c r="Y28" i="1"/>
  <c r="J53" i="1"/>
  <c r="E49" i="1"/>
  <c r="E55" i="1"/>
  <c r="E56" i="1" s="1"/>
  <c r="E59" i="1" s="1"/>
  <c r="W53" i="1"/>
  <c r="J54" i="1"/>
  <c r="W54" i="1"/>
  <c r="C54" i="1"/>
  <c r="C53" i="1"/>
  <c r="J48" i="1"/>
  <c r="W48" i="1"/>
  <c r="C48" i="1"/>
  <c r="W52" i="1"/>
  <c r="W44" i="1"/>
  <c r="W46" i="1"/>
  <c r="W47" i="1"/>
  <c r="W43" i="1"/>
  <c r="W31" i="1"/>
  <c r="W32" i="1"/>
  <c r="W33" i="1"/>
  <c r="W34" i="1"/>
  <c r="W35" i="1"/>
  <c r="W36" i="1"/>
  <c r="W37" i="1"/>
  <c r="W38" i="1"/>
  <c r="W39" i="1"/>
  <c r="W30" i="1"/>
  <c r="W15" i="1"/>
  <c r="W16" i="1"/>
  <c r="W17" i="1"/>
  <c r="W18" i="1"/>
  <c r="W19" i="1"/>
  <c r="W20" i="1"/>
  <c r="W21" i="1"/>
  <c r="W22" i="1"/>
  <c r="W23" i="1"/>
  <c r="W24" i="1"/>
  <c r="W25" i="1"/>
  <c r="W26" i="1"/>
  <c r="W14" i="1"/>
  <c r="W5" i="1"/>
  <c r="W6" i="1"/>
  <c r="W7" i="1"/>
  <c r="W8" i="1"/>
  <c r="W9" i="1"/>
  <c r="W11" i="1" s="1"/>
  <c r="O14" i="1"/>
  <c r="O4" i="1"/>
  <c r="L6" i="1"/>
  <c r="O6" i="1" s="1"/>
  <c r="J44" i="1"/>
  <c r="J46" i="1"/>
  <c r="J47" i="1"/>
  <c r="J52" i="1"/>
  <c r="J43" i="1"/>
  <c r="J31" i="1"/>
  <c r="J32" i="1"/>
  <c r="J33" i="1"/>
  <c r="J34" i="1"/>
  <c r="J35" i="1"/>
  <c r="J36" i="1"/>
  <c r="J37" i="1"/>
  <c r="J38" i="1"/>
  <c r="J39" i="1"/>
  <c r="J30" i="1"/>
  <c r="C46" i="1"/>
  <c r="C43" i="1"/>
  <c r="C44" i="1"/>
  <c r="J15" i="1"/>
  <c r="J16" i="1"/>
  <c r="J17" i="1"/>
  <c r="J18" i="1"/>
  <c r="J19" i="1"/>
  <c r="J20" i="1"/>
  <c r="J21" i="1"/>
  <c r="J22" i="1"/>
  <c r="J23" i="1"/>
  <c r="J24" i="1"/>
  <c r="J25" i="1"/>
  <c r="J26" i="1"/>
  <c r="J14" i="1"/>
  <c r="J4" i="1"/>
  <c r="J5" i="1"/>
  <c r="J6" i="1"/>
  <c r="J7" i="1"/>
  <c r="J8" i="1"/>
  <c r="J9" i="1"/>
  <c r="J11" i="1" l="1"/>
  <c r="J55" i="1"/>
  <c r="W55" i="1"/>
  <c r="J49" i="1"/>
  <c r="W49" i="1"/>
  <c r="J40" i="1"/>
  <c r="W40" i="1"/>
  <c r="W27" i="1"/>
  <c r="J27" i="1"/>
  <c r="L5" i="1"/>
  <c r="L8" i="1"/>
  <c r="O8" i="1" s="1"/>
  <c r="L7" i="1"/>
  <c r="O7" i="1" s="1"/>
  <c r="O5" i="1" l="1"/>
  <c r="E40" i="1" l="1"/>
  <c r="C38" i="1"/>
  <c r="C37" i="1"/>
  <c r="C36" i="1"/>
  <c r="C35" i="1"/>
  <c r="C30" i="1"/>
  <c r="C31" i="1"/>
  <c r="C32" i="1"/>
  <c r="C33" i="1"/>
  <c r="E27" i="1"/>
  <c r="C26" i="1"/>
  <c r="C25" i="1"/>
  <c r="C24" i="1"/>
  <c r="C23" i="1"/>
  <c r="C22" i="1"/>
  <c r="C21" i="1"/>
  <c r="C20" i="1"/>
  <c r="C19" i="1"/>
  <c r="C16" i="1"/>
  <c r="C17" i="1"/>
  <c r="C15" i="1"/>
  <c r="C14" i="1"/>
  <c r="C34" i="1"/>
  <c r="I40" i="1"/>
  <c r="N34" i="1"/>
  <c r="S34" i="1"/>
  <c r="AI12" i="1"/>
  <c r="C52" i="1"/>
  <c r="C47" i="1"/>
  <c r="I11" i="1" l="1"/>
  <c r="I27" i="1"/>
  <c r="L23" i="1"/>
  <c r="O23" i="1" s="1"/>
  <c r="L16" i="1"/>
  <c r="O16" i="1" s="1"/>
  <c r="L26" i="1"/>
  <c r="O26" i="1" s="1"/>
  <c r="L19" i="1"/>
  <c r="O19" i="1" s="1"/>
  <c r="L20" i="1"/>
  <c r="O20" i="1" s="1"/>
  <c r="L15" i="1"/>
  <c r="L25" i="1"/>
  <c r="O25" i="1" s="1"/>
  <c r="L21" i="1"/>
  <c r="O21" i="1" s="1"/>
  <c r="L24" i="1"/>
  <c r="O24" i="1" s="1"/>
  <c r="L17" i="1"/>
  <c r="O17" i="1" s="1"/>
  <c r="L22" i="1"/>
  <c r="O22" i="1" s="1"/>
  <c r="C39" i="1"/>
  <c r="S18" i="1"/>
  <c r="S11" i="1"/>
  <c r="AI13" i="1"/>
  <c r="AI11" i="1"/>
  <c r="C18" i="1"/>
  <c r="L18" i="1" s="1"/>
  <c r="O18" i="1" s="1"/>
  <c r="C9" i="1"/>
  <c r="L9" i="1" s="1"/>
  <c r="O9" i="1" l="1"/>
  <c r="L11" i="1"/>
  <c r="O15" i="1"/>
  <c r="L27" i="1"/>
  <c r="O11" i="1" l="1"/>
  <c r="N11" i="1"/>
  <c r="N27" i="1"/>
  <c r="O27" i="1"/>
  <c r="T3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Lui, Chi</author>
  </authors>
  <commentList>
    <comment ref="S23" authorId="0" shapeId="0" xr:uid="{315FE0C5-5DEC-4CAB-9867-67D415BEB35B}">
      <text>
        <r>
          <rPr>
            <b/>
            <sz val="9"/>
            <color indexed="81"/>
            <rFont val="Tahoma"/>
            <family val="2"/>
          </rPr>
          <t>Lui, Chi:</t>
        </r>
        <r>
          <rPr>
            <sz val="9"/>
            <color indexed="81"/>
            <rFont val="Tahoma"/>
            <family val="2"/>
          </rPr>
          <t xml:space="preserve">
Get actual data from Richard Brooks</t>
        </r>
      </text>
    </comment>
    <comment ref="C30" authorId="0" shapeId="0" xr:uid="{DF6744E6-13DB-47FF-85BD-2D190E9DCEC4}">
      <text>
        <r>
          <rPr>
            <b/>
            <sz val="9"/>
            <color indexed="81"/>
            <rFont val="Tahoma"/>
            <family val="2"/>
          </rPr>
          <t>Lui, Chi:</t>
        </r>
        <r>
          <rPr>
            <sz val="9"/>
            <color indexed="81"/>
            <rFont val="Tahoma"/>
            <family val="2"/>
          </rPr>
          <t xml:space="preserve">
8930.5: Resource Innovation data
</t>
        </r>
      </text>
    </comment>
    <comment ref="B31" authorId="0" shapeId="0" xr:uid="{61380804-B724-4842-9445-EEFCC6844BF6}">
      <text>
        <r>
          <rPr>
            <b/>
            <sz val="9"/>
            <color indexed="81"/>
            <rFont val="Tahoma"/>
            <family val="2"/>
          </rPr>
          <t>Lui, Chi:</t>
        </r>
        <r>
          <rPr>
            <sz val="9"/>
            <color indexed="81"/>
            <rFont val="Tahoma"/>
            <family val="2"/>
          </rPr>
          <t xml:space="preserve">
Include winter kw factor
</t>
        </r>
      </text>
    </comment>
    <comment ref="B32" authorId="0" shapeId="0" xr:uid="{DBDBC3EB-7B36-4871-A158-6581146A518F}">
      <text>
        <r>
          <rPr>
            <b/>
            <sz val="9"/>
            <color indexed="81"/>
            <rFont val="Tahoma"/>
            <family val="2"/>
          </rPr>
          <t>Lui, Chi:</t>
        </r>
        <r>
          <rPr>
            <sz val="9"/>
            <color indexed="81"/>
            <rFont val="Tahoma"/>
            <family val="2"/>
          </rPr>
          <t xml:space="preserve">
Assume system estimated peak load = system estimated VFD speed</t>
        </r>
      </text>
    </comment>
    <comment ref="C37" authorId="0" shapeId="0" xr:uid="{F9BE6B13-4CD8-49E5-8BCE-77DB5286D79D}">
      <text>
        <r>
          <rPr>
            <b/>
            <sz val="9"/>
            <color indexed="81"/>
            <rFont val="Tahoma"/>
            <family val="2"/>
          </rPr>
          <t>Lui, Chi:</t>
        </r>
        <r>
          <rPr>
            <sz val="9"/>
            <color indexed="81"/>
            <rFont val="Tahoma"/>
            <family val="2"/>
          </rPr>
          <t xml:space="preserve">
WKW calculation
</t>
        </r>
      </text>
    </comment>
  </commentList>
</comments>
</file>

<file path=xl/sharedStrings.xml><?xml version="1.0" encoding="utf-8"?>
<sst xmlns="http://schemas.openxmlformats.org/spreadsheetml/2006/main" count="276" uniqueCount="216">
  <si>
    <t>DX Comparison</t>
  </si>
  <si>
    <t>Ton</t>
  </si>
  <si>
    <t>Mbtuh</t>
  </si>
  <si>
    <t xml:space="preserve">From Study Efficiency </t>
  </si>
  <si>
    <t>Calc SKW Saving (7% better)</t>
  </si>
  <si>
    <t>From Study SKW</t>
  </si>
  <si>
    <t>Variance</t>
  </si>
  <si>
    <t>Current</t>
  </si>
  <si>
    <t>Min Eff. Based on 3% better</t>
  </si>
  <si>
    <t>Calc SKW Saving      (3% better)</t>
  </si>
  <si>
    <t>Calculated</t>
  </si>
  <si>
    <t xml:space="preserve">SKW (@3% better EER) </t>
  </si>
  <si>
    <t>EER From Study</t>
  </si>
  <si>
    <t>Calculated $820/SK</t>
  </si>
  <si>
    <t>Prescriptive Program:</t>
  </si>
  <si>
    <t>Processed in 2024-</t>
  </si>
  <si>
    <t>Total SKW</t>
  </si>
  <si>
    <t>Rebate $</t>
  </si>
  <si>
    <t>Unit Size</t>
  </si>
  <si>
    <t>Minimum Efficiencies</t>
  </si>
  <si>
    <t>Average</t>
  </si>
  <si>
    <t>From Study</t>
  </si>
  <si>
    <t>Per Unit</t>
  </si>
  <si>
    <t>SEER</t>
  </si>
  <si>
    <t>SEER2</t>
  </si>
  <si>
    <t>$/ton</t>
  </si>
  <si>
    <t>SkW/ton</t>
  </si>
  <si>
    <t>Avg size</t>
  </si>
  <si>
    <t>SkW</t>
  </si>
  <si>
    <t>$/SkW</t>
  </si>
  <si>
    <t>Average $</t>
  </si>
  <si>
    <t>WkW</t>
  </si>
  <si>
    <t>kWh</t>
  </si>
  <si>
    <t>Rebate</t>
  </si>
  <si>
    <t>Tons</t>
  </si>
  <si>
    <t>5.4 Tons or less</t>
  </si>
  <si>
    <t>5.5 Tons ≤ to 11.25 Tons</t>
  </si>
  <si>
    <t>11.25 Tons &lt; to 20 Tons</t>
  </si>
  <si>
    <t>20 Tons ≤ to 66.3 Tons</t>
  </si>
  <si>
    <t>≥ 63.3 Tons</t>
  </si>
  <si>
    <t>Total Unit processed</t>
  </si>
  <si>
    <t>Total SkW</t>
  </si>
  <si>
    <t>Total SkW processed</t>
  </si>
  <si>
    <t>Existing</t>
  </si>
  <si>
    <t>Proposed</t>
  </si>
  <si>
    <t>Annual Hours of Operation:</t>
  </si>
  <si>
    <t>Output</t>
  </si>
  <si>
    <t>Percent</t>
  </si>
  <si>
    <t>kW</t>
  </si>
  <si>
    <t>Estimated</t>
  </si>
  <si>
    <t>Energy</t>
  </si>
  <si>
    <t>Assumptions:</t>
  </si>
  <si>
    <t>Load</t>
  </si>
  <si>
    <t>of  full</t>
  </si>
  <si>
    <t>w/o VFD</t>
  </si>
  <si>
    <t>w/VFD</t>
  </si>
  <si>
    <t>Demand</t>
  </si>
  <si>
    <t>%Time at</t>
  </si>
  <si>
    <t>Savings</t>
  </si>
  <si>
    <t>1. Output load level = max system peak/On-peak Hr Max peak load; since FPL summer peaking hours is from June to September from 3-6PM, max system capacity during the on-peak hours vs overall system max capacity</t>
  </si>
  <si>
    <t>Level</t>
  </si>
  <si>
    <t>load speed</t>
  </si>
  <si>
    <t>Saving</t>
  </si>
  <si>
    <t>2. Output Load Level=Percent Speed</t>
  </si>
  <si>
    <t>TOTALS</t>
  </si>
  <si>
    <t>System Type</t>
  </si>
  <si>
    <t>Chilled Water Pump</t>
  </si>
  <si>
    <t>Pump Motor Horse Power (HP)</t>
  </si>
  <si>
    <t>Quantity</t>
  </si>
  <si>
    <t>Based ASHRAE Standard Run Time Average</t>
  </si>
  <si>
    <t>Max Peak Load (tons)</t>
  </si>
  <si>
    <t>Max System Peak Load</t>
  </si>
  <si>
    <t>% run time</t>
  </si>
  <si>
    <t>Weighted Average</t>
  </si>
  <si>
    <t>On-Peak Hr Max Peak Load (tons)</t>
  </si>
  <si>
    <t>Summer month 3-6 PM Peak Load</t>
  </si>
  <si>
    <t>Motor Efficiency Value</t>
  </si>
  <si>
    <t>Average VFD Efficiency Penalty</t>
  </si>
  <si>
    <t>Existing w/o VFD kW</t>
  </si>
  <si>
    <t>Proposed w/VFD kW</t>
  </si>
  <si>
    <t>kWh Factor</t>
  </si>
  <si>
    <t>WKW Factor</t>
  </si>
  <si>
    <t>VFD installed cost average: $/HP</t>
  </si>
  <si>
    <t>System Estimated Peak Load %</t>
  </si>
  <si>
    <t>Total Installed Average Cost</t>
  </si>
  <si>
    <t>Motor kW at System Peak Load (kW)</t>
  </si>
  <si>
    <t>Total Motor kW at System Peak Load (kW)</t>
  </si>
  <si>
    <t>Rebate Amount $/kW</t>
  </si>
  <si>
    <t>Total Summer kWD Reduction</t>
  </si>
  <si>
    <t>Total Winter kWD Reduction</t>
  </si>
  <si>
    <t>Held pump wheel diameter constant: (D1/D2)^3=1</t>
  </si>
  <si>
    <t>exponent</t>
  </si>
  <si>
    <t>Total kWh Reduction</t>
  </si>
  <si>
    <t>P1=P2 x ((n1/n2)^exp)</t>
  </si>
  <si>
    <t xml:space="preserve">Rebate Amount  </t>
  </si>
  <si>
    <t>q1=q2 x (n1/n2)</t>
  </si>
  <si>
    <t>Percent Input Power</t>
  </si>
  <si>
    <t>Percent Speed</t>
  </si>
  <si>
    <t>p1</t>
  </si>
  <si>
    <t>p2</t>
  </si>
  <si>
    <t>q1</t>
  </si>
  <si>
    <t>q2</t>
  </si>
  <si>
    <t>n1</t>
  </si>
  <si>
    <t>n2</t>
  </si>
  <si>
    <t>n1/n2</t>
  </si>
  <si>
    <t>VFD Parameters</t>
  </si>
  <si>
    <t>Power-to-Speed Reduction Exponent</t>
  </si>
  <si>
    <t>Power-to-Speed Reduction Exponent Chiller</t>
  </si>
  <si>
    <t>Power-to-Speed Reduction Exponent Condenser</t>
  </si>
  <si>
    <t>Condenser Water Pump</t>
  </si>
  <si>
    <t xml:space="preserve">IDENTIFY EXISTING METHOD OF CONTROL </t>
  </si>
  <si>
    <t>1=No Control, 2=Pump Throttling</t>
  </si>
  <si>
    <t>1 or 2</t>
  </si>
  <si>
    <t>HP-KW factor</t>
  </si>
  <si>
    <t>Curve Equations</t>
  </si>
  <si>
    <t>% Power = a x % speed^2 + b x % speed + c</t>
  </si>
  <si>
    <t>Coefficients</t>
  </si>
  <si>
    <t>a</t>
  </si>
  <si>
    <t>b</t>
  </si>
  <si>
    <t>c</t>
  </si>
  <si>
    <t>pump throttling or fan/blower discharge damper</t>
  </si>
  <si>
    <t>Pump Motor Power Requirements</t>
  </si>
  <si>
    <t>Percent Full</t>
  </si>
  <si>
    <t>Percent of Full Speed Input Power with</t>
  </si>
  <si>
    <t>Speed</t>
  </si>
  <si>
    <t>Discharge</t>
  </si>
  <si>
    <t>Ideal</t>
  </si>
  <si>
    <t>Flow</t>
  </si>
  <si>
    <t>No control</t>
  </si>
  <si>
    <t>Throttling</t>
  </si>
  <si>
    <t>VFD</t>
  </si>
  <si>
    <t>Notes</t>
  </si>
  <si>
    <t>System equation:</t>
  </si>
  <si>
    <t>"- a(System Estimated Peak Load %)*2 + b(System Estimated Peak Load %) + c"</t>
  </si>
  <si>
    <t>a=-0.4375</t>
  </si>
  <si>
    <t>b=1.0261</t>
  </si>
  <si>
    <t>c=0.417</t>
  </si>
  <si>
    <t>References: https://www.efficiencymaine.com/docs/VFD-Savings-Analysis.xls</t>
  </si>
  <si>
    <t>Generic VFD Savings Calculation Spreadsheet</t>
  </si>
  <si>
    <t>The user should input project specific data into the yellow shaded cells.</t>
  </si>
  <si>
    <t>C28 describe the motor(s) being controlled in terms of HP, % loading at 100% output level for the process, and motor nominal efficiency.</t>
  </si>
  <si>
    <t xml:space="preserve">Power-to-Speed Reduction Exponent:  When friction represents a high % of overall head, the exponent is closer to 3.0 and the input power with vfd will follow affinity laws (input power varies as the cube of % speed).  Open systems where head loss is not mainly from friction losses, the exponent should be closer between 1-2 </t>
  </si>
  <si>
    <t>Cell E37, E38 and E39 should be populated with VFD manufacturers data.</t>
  </si>
  <si>
    <t>Cell F33 represent the method of control that most closer describes the baseline situation.</t>
  </si>
  <si>
    <t>Cells H43 and I43 represent the annual hours of operation for the baseline and the proposed case.</t>
  </si>
  <si>
    <r>
      <t xml:space="preserve">The range from cell B47:D59 should be used to describe the load shape of the operation.  </t>
    </r>
    <r>
      <rPr>
        <sz val="10"/>
        <color rgb="FFFF0000"/>
        <rFont val="Arial"/>
        <family val="2"/>
      </rPr>
      <t>Inputs to this range should be supported by historical data, or clearly explained.</t>
    </r>
  </si>
  <si>
    <t>DSM specialist inputs</t>
  </si>
  <si>
    <t>System Type:</t>
  </si>
  <si>
    <t>Drop Down selection: Chilled water pump, Condenser water pump (select one)</t>
  </si>
  <si>
    <t>Period (Text)</t>
  </si>
  <si>
    <t>Program (Text)</t>
  </si>
  <si>
    <t>Measure (Text)</t>
  </si>
  <si>
    <t>Average VFD penalty (%):</t>
  </si>
  <si>
    <t>kWh Factor:</t>
  </si>
  <si>
    <t>Winter kW Factor:</t>
  </si>
  <si>
    <t>Rebate amount ($/kW):</t>
  </si>
  <si>
    <t>a: coefficient-a</t>
  </si>
  <si>
    <t>b: coefficient-b</t>
  </si>
  <si>
    <t>c: coefficient-c</t>
  </si>
  <si>
    <t>Number of Units:</t>
  </si>
  <si>
    <t>input number value</t>
  </si>
  <si>
    <t>Business HVAC - VFD</t>
  </si>
  <si>
    <t>Variable Frequency Drive</t>
  </si>
  <si>
    <t>Pump Motor Horse Power (HP):</t>
  </si>
  <si>
    <t>Grace</t>
  </si>
  <si>
    <t>Max Peak load (tons):</t>
  </si>
  <si>
    <t>On-peak Max Load (tons):</t>
  </si>
  <si>
    <t>Motor Efficiency Value (%):</t>
  </si>
  <si>
    <t>Input Percent value</t>
  </si>
  <si>
    <t>Existing System Control Method (number value)</t>
  </si>
  <si>
    <t>Drop Down selection: No control, Pump Throttling (select one)</t>
  </si>
  <si>
    <t>Program manager inputs</t>
  </si>
  <si>
    <t>Back end Calculations</t>
  </si>
  <si>
    <t>Refer to VFD Calcs</t>
  </si>
  <si>
    <t>System Estimated Peak Load (%) =</t>
  </si>
  <si>
    <t xml:space="preserve">On-Peak Hr Max Peak Load / Max Peak Load </t>
  </si>
  <si>
    <t>Motor kW at System Peak Load (kW) =</t>
  </si>
  <si>
    <t>HP-kW factor * Pump Motor Horse Power * System Estimated Peak Load / Motor Efficiency Value</t>
  </si>
  <si>
    <t>Control Method-1: Existing w/o VFD kW =</t>
  </si>
  <si>
    <t>Motor kW at System Peak Load</t>
  </si>
  <si>
    <t>Control Method-2: Existing w/o VFD kW =</t>
  </si>
  <si>
    <t xml:space="preserve">coefficient-a * System Estimated Peak Load^2 + coefficient -b * System Estimated Peak Loa + coefficient-c </t>
  </si>
  <si>
    <t>Proposed w/VFD kW (Chilled Water Pump) =</t>
  </si>
  <si>
    <t>System Estimated Peak Load^Power-to-Speed Reduction Exponent Chiller * Motor kW at System Peak Load / (1-Average VFD penalty)</t>
  </si>
  <si>
    <t>Proposed w/VFD kW (Condenser Water Pump) =</t>
  </si>
  <si>
    <t>System Estimated Peak Load^Power-to-Speed Reduction Exponent Condenser * Motor kW at System Peak Load  / (1-Average VFD penalty)</t>
  </si>
  <si>
    <t>Total Motor kW at System Peak Load (Chilled Water Pump) =</t>
  </si>
  <si>
    <t>Proposed w/VFD * Number of Units</t>
  </si>
  <si>
    <t>Total Motor kW at System Peak Load (Condenser Water Pumpp) =</t>
  </si>
  <si>
    <t>Total Summer kWD Reduction =</t>
  </si>
  <si>
    <t xml:space="preserve"> Existing w/o VFD kW (Use selected Method 1 or Method 2) - Total Motor kW at System Peak Load (Use selected Chilled Water Pump or Condenser Water Pump)</t>
  </si>
  <si>
    <t>Total Winter kWD Reduction=</t>
  </si>
  <si>
    <t>Total Summer kWD Reduction*Winter kW Factor</t>
  </si>
  <si>
    <t>Total kWh Reduction =</t>
  </si>
  <si>
    <t>Total Summer kWD Reduction*kWh Factor</t>
  </si>
  <si>
    <t>Rebate Amount =</t>
  </si>
  <si>
    <t>Total Summer kWD Reduction * Rebate Amount</t>
  </si>
  <si>
    <t>Outputs</t>
  </si>
  <si>
    <t xml:space="preserve">Pump Motor Horse Power = </t>
  </si>
  <si>
    <t>From input value</t>
  </si>
  <si>
    <t xml:space="preserve">Number of units = </t>
  </si>
  <si>
    <t>From backend calculations</t>
  </si>
  <si>
    <t>Required Documents</t>
  </si>
  <si>
    <t>Schedule of values/Invoice/Purchase order</t>
  </si>
  <si>
    <t>Peak Day Load Profile</t>
  </si>
  <si>
    <t>Variable Frequency Drive Submittals</t>
  </si>
  <si>
    <t>Pump Submittals</t>
  </si>
  <si>
    <t>Pump schedules/Mechanical schedules</t>
  </si>
  <si>
    <t>AC</t>
  </si>
  <si>
    <t>WC</t>
  </si>
  <si>
    <t>tonnage</t>
  </si>
  <si>
    <t>skw</t>
  </si>
  <si>
    <t>Water flow</t>
  </si>
  <si>
    <t>VFD  (skw)</t>
  </si>
  <si>
    <t xml:space="preserve">Instructions for calculating rebate </t>
  </si>
  <si>
    <t xml:space="preserve">Replace the data in the highlighted cells with your specific equipment specifications. Rebate details will be automatically calculated.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</si>
</sst>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5" formatCode="0.0000_);[Red]\(0.0000\)"/>
    <numFmt numFmtId="166" formatCode="0.000"/>
    <numFmt numFmtId="167" formatCode="0.0%"/>
    <numFmt numFmtId="168" formatCode="&quot;$&quot;#,##0.000000_);[Red]\(&quot;$&quot;#,##0.000000\)"/>
    <numFmt numFmtId="169" formatCode="&quot;$&quot;#,##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12"/>
      <color rgb="FF0070C0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70C0"/>
      <name val="Arial"/>
      <family val="2"/>
    </font>
    <font>
      <b/>
      <sz val="11"/>
      <name val="Calibri"/>
      <family val="2"/>
      <scheme val="minor"/>
    </font>
    <font>
      <b/>
      <u/>
      <sz val="10"/>
      <color theme="1"/>
      <name val="Aptos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80">
    <xf numFmtId="0" fontId="0" fillId="0" borderId="0" xfId="0"/>
    <xf numFmtId="44" fontId="0" fillId="0" borderId="0" xfId="1" applyFont="1"/>
    <xf numFmtId="8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5" fontId="3" fillId="0" borderId="0" xfId="0" applyNumberFormat="1" applyFont="1"/>
    <xf numFmtId="0" fontId="3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  <xf numFmtId="0" fontId="0" fillId="2" borderId="0" xfId="0" applyFill="1" applyAlignment="1">
      <alignment horizontal="center"/>
    </xf>
    <xf numFmtId="44" fontId="4" fillId="0" borderId="0" xfId="1" applyFont="1"/>
    <xf numFmtId="0" fontId="2" fillId="2" borderId="0" xfId="0" applyFont="1" applyFill="1"/>
    <xf numFmtId="164" fontId="2" fillId="2" borderId="0" xfId="0" applyNumberFormat="1" applyFont="1" applyFill="1"/>
    <xf numFmtId="166" fontId="2" fillId="2" borderId="0" xfId="0" applyNumberFormat="1" applyFont="1" applyFill="1"/>
    <xf numFmtId="165" fontId="5" fillId="2" borderId="0" xfId="0" applyNumberFormat="1" applyFont="1" applyFill="1"/>
    <xf numFmtId="8" fontId="2" fillId="2" borderId="0" xfId="1" applyNumberFormat="1" applyFont="1" applyFill="1"/>
    <xf numFmtId="0" fontId="2" fillId="2" borderId="0" xfId="0" applyFont="1" applyFill="1" applyAlignment="1">
      <alignment horizontal="center"/>
    </xf>
    <xf numFmtId="8" fontId="2" fillId="2" borderId="0" xfId="0" applyNumberFormat="1" applyFont="1" applyFill="1"/>
    <xf numFmtId="8" fontId="6" fillId="0" borderId="0" xfId="0" applyNumberFormat="1" applyFont="1"/>
    <xf numFmtId="0" fontId="7" fillId="2" borderId="0" xfId="0" applyFont="1" applyFill="1"/>
    <xf numFmtId="8" fontId="2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167" fontId="2" fillId="0" borderId="0" xfId="2" applyNumberFormat="1" applyFont="1" applyFill="1" applyAlignment="1">
      <alignment horizontal="center"/>
    </xf>
    <xf numFmtId="0" fontId="2" fillId="0" borderId="0" xfId="0" applyFont="1"/>
    <xf numFmtId="8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44" fontId="4" fillId="3" borderId="0" xfId="0" applyNumberFormat="1" applyFont="1" applyFill="1" applyAlignment="1">
      <alignment horizontal="center"/>
    </xf>
    <xf numFmtId="0" fontId="12" fillId="3" borderId="13" xfId="0" applyFont="1" applyFill="1" applyBorder="1" applyAlignment="1" applyProtection="1">
      <alignment horizontal="center"/>
      <protection locked="0"/>
    </xf>
    <xf numFmtId="9" fontId="0" fillId="0" borderId="0" xfId="0" applyNumberFormat="1" applyAlignment="1">
      <alignment horizontal="center"/>
    </xf>
    <xf numFmtId="9" fontId="0" fillId="0" borderId="0" xfId="2" applyFont="1" applyBorder="1" applyAlignment="1">
      <alignment horizontal="center"/>
    </xf>
    <xf numFmtId="0" fontId="1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5" fillId="0" borderId="0" xfId="0" applyFont="1"/>
    <xf numFmtId="0" fontId="17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7" fontId="12" fillId="3" borderId="13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1" fillId="5" borderId="0" xfId="0" applyFont="1" applyFill="1"/>
    <xf numFmtId="3" fontId="0" fillId="5" borderId="0" xfId="0" applyNumberFormat="1" applyFill="1" applyAlignment="1">
      <alignment horizontal="center"/>
    </xf>
    <xf numFmtId="0" fontId="0" fillId="5" borderId="0" xfId="0" applyFill="1"/>
    <xf numFmtId="0" fontId="12" fillId="5" borderId="0" xfId="0" applyFont="1" applyFill="1" applyAlignment="1">
      <alignment horizontal="center"/>
    </xf>
    <xf numFmtId="0" fontId="11" fillId="5" borderId="0" xfId="0" applyFont="1" applyFill="1" applyAlignment="1">
      <alignment horizontal="right"/>
    </xf>
    <xf numFmtId="3" fontId="12" fillId="3" borderId="0" xfId="0" applyNumberFormat="1" applyFont="1" applyFill="1" applyAlignment="1">
      <alignment horizontal="center"/>
    </xf>
    <xf numFmtId="1" fontId="12" fillId="3" borderId="0" xfId="0" applyNumberFormat="1" applyFont="1" applyFill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/>
    </xf>
    <xf numFmtId="9" fontId="20" fillId="3" borderId="16" xfId="0" applyNumberFormat="1" applyFont="1" applyFill="1" applyBorder="1" applyAlignment="1">
      <alignment horizontal="center"/>
    </xf>
    <xf numFmtId="9" fontId="8" fillId="3" borderId="9" xfId="0" applyNumberFormat="1" applyFont="1" applyFill="1" applyBorder="1" applyAlignment="1">
      <alignment horizontal="center"/>
    </xf>
    <xf numFmtId="2" fontId="0" fillId="5" borderId="9" xfId="0" applyNumberFormat="1" applyFill="1" applyBorder="1" applyAlignment="1">
      <alignment horizontal="center"/>
    </xf>
    <xf numFmtId="9" fontId="20" fillId="3" borderId="9" xfId="0" applyNumberFormat="1" applyFont="1" applyFill="1" applyBorder="1" applyAlignment="1">
      <alignment horizontal="center"/>
    </xf>
    <xf numFmtId="3" fontId="0" fillId="5" borderId="9" xfId="0" applyNumberFormat="1" applyFill="1" applyBorder="1" applyAlignment="1">
      <alignment horizontal="center"/>
    </xf>
    <xf numFmtId="3" fontId="0" fillId="5" borderId="5" xfId="0" applyNumberFormat="1" applyFill="1" applyBorder="1" applyAlignment="1">
      <alignment horizontal="center"/>
    </xf>
    <xf numFmtId="164" fontId="0" fillId="6" borderId="9" xfId="0" applyNumberFormat="1" applyFill="1" applyBorder="1" applyAlignment="1">
      <alignment horizontal="center"/>
    </xf>
    <xf numFmtId="2" fontId="0" fillId="6" borderId="9" xfId="0" applyNumberFormat="1" applyFill="1" applyBorder="1" applyAlignment="1">
      <alignment horizontal="center"/>
    </xf>
    <xf numFmtId="3" fontId="0" fillId="6" borderId="9" xfId="0" applyNumberFormat="1" applyFill="1" applyBorder="1" applyAlignment="1">
      <alignment horizontal="center"/>
    </xf>
    <xf numFmtId="3" fontId="0" fillId="6" borderId="5" xfId="0" applyNumberForma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9" fontId="20" fillId="3" borderId="17" xfId="0" applyNumberFormat="1" applyFont="1" applyFill="1" applyBorder="1" applyAlignment="1">
      <alignment horizontal="center"/>
    </xf>
    <xf numFmtId="9" fontId="8" fillId="3" borderId="18" xfId="0" applyNumberFormat="1" applyFont="1" applyFill="1" applyBorder="1" applyAlignment="1">
      <alignment horizontal="center"/>
    </xf>
    <xf numFmtId="164" fontId="0" fillId="5" borderId="18" xfId="0" applyNumberFormat="1" applyFill="1" applyBorder="1" applyAlignment="1">
      <alignment horizontal="center"/>
    </xf>
    <xf numFmtId="2" fontId="0" fillId="5" borderId="18" xfId="0" applyNumberFormat="1" applyFill="1" applyBorder="1" applyAlignment="1">
      <alignment horizontal="center"/>
    </xf>
    <xf numFmtId="3" fontId="0" fillId="5" borderId="18" xfId="0" applyNumberFormat="1" applyFill="1" applyBorder="1" applyAlignment="1">
      <alignment horizontal="center"/>
    </xf>
    <xf numFmtId="3" fontId="0" fillId="5" borderId="19" xfId="0" applyNumberFormat="1" applyFill="1" applyBorder="1" applyAlignment="1">
      <alignment horizontal="center"/>
    </xf>
    <xf numFmtId="0" fontId="11" fillId="4" borderId="10" xfId="0" applyFont="1" applyFill="1" applyBorder="1"/>
    <xf numFmtId="169" fontId="0" fillId="4" borderId="11" xfId="0" applyNumberFormat="1" applyFill="1" applyBorder="1" applyAlignment="1">
      <alignment horizontal="center"/>
    </xf>
    <xf numFmtId="0" fontId="0" fillId="4" borderId="11" xfId="0" applyFill="1" applyBorder="1"/>
    <xf numFmtId="0" fontId="11" fillId="4" borderId="11" xfId="0" applyFont="1" applyFill="1" applyBorder="1" applyAlignment="1">
      <alignment horizontal="right"/>
    </xf>
    <xf numFmtId="9" fontId="11" fillId="4" borderId="11" xfId="0" applyNumberFormat="1" applyFont="1" applyFill="1" applyBorder="1" applyAlignment="1">
      <alignment horizontal="center"/>
    </xf>
    <xf numFmtId="3" fontId="11" fillId="4" borderId="11" xfId="0" applyNumberFormat="1" applyFont="1" applyFill="1" applyBorder="1" applyAlignment="1">
      <alignment horizontal="center"/>
    </xf>
    <xf numFmtId="3" fontId="11" fillId="4" borderId="12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Continuous"/>
    </xf>
    <xf numFmtId="0" fontId="2" fillId="0" borderId="21" xfId="0" applyFont="1" applyBorder="1" applyAlignment="1">
      <alignment horizontal="centerContinuous"/>
    </xf>
    <xf numFmtId="0" fontId="2" fillId="0" borderId="22" xfId="0" applyFont="1" applyBorder="1" applyAlignment="1">
      <alignment horizontal="centerContinuous"/>
    </xf>
    <xf numFmtId="0" fontId="2" fillId="0" borderId="13" xfId="0" applyFont="1" applyBorder="1" applyAlignment="1">
      <alignment horizontal="center"/>
    </xf>
    <xf numFmtId="10" fontId="0" fillId="0" borderId="13" xfId="0" applyNumberFormat="1" applyBorder="1"/>
    <xf numFmtId="9" fontId="0" fillId="0" borderId="0" xfId="0" applyNumberFormat="1"/>
    <xf numFmtId="164" fontId="0" fillId="0" borderId="0" xfId="0" applyNumberFormat="1" applyAlignment="1">
      <alignment horizontal="center"/>
    </xf>
    <xf numFmtId="0" fontId="11" fillId="0" borderId="13" xfId="0" applyFont="1" applyBorder="1" applyAlignment="1">
      <alignment horizontal="centerContinuous" vertical="center" wrapText="1"/>
    </xf>
    <xf numFmtId="164" fontId="26" fillId="0" borderId="13" xfId="0" applyNumberFormat="1" applyFont="1" applyBorder="1" applyAlignment="1">
      <alignment horizontal="center"/>
    </xf>
    <xf numFmtId="44" fontId="0" fillId="0" borderId="0" xfId="1" applyFont="1" applyProtection="1"/>
    <xf numFmtId="0" fontId="11" fillId="0" borderId="13" xfId="0" applyFont="1" applyBorder="1" applyAlignment="1">
      <alignment horizontal="center" vertical="center" wrapText="1"/>
    </xf>
    <xf numFmtId="167" fontId="0" fillId="0" borderId="0" xfId="2" applyNumberFormat="1" applyFont="1" applyProtection="1"/>
    <xf numFmtId="7" fontId="26" fillId="0" borderId="13" xfId="1" applyNumberFormat="1" applyFont="1" applyFill="1" applyBorder="1" applyAlignment="1" applyProtection="1">
      <alignment horizontal="center"/>
    </xf>
    <xf numFmtId="0" fontId="11" fillId="0" borderId="18" xfId="0" applyFont="1" applyBorder="1" applyAlignment="1">
      <alignment horizontal="centerContinuous" vertical="center" wrapText="1"/>
    </xf>
    <xf numFmtId="0" fontId="9" fillId="0" borderId="13" xfId="0" applyFont="1" applyBorder="1"/>
    <xf numFmtId="0" fontId="0" fillId="0" borderId="13" xfId="0" applyBorder="1"/>
    <xf numFmtId="0" fontId="10" fillId="0" borderId="13" xfId="0" applyFont="1" applyBorder="1"/>
    <xf numFmtId="2" fontId="26" fillId="0" borderId="13" xfId="0" applyNumberFormat="1" applyFont="1" applyBorder="1" applyAlignment="1">
      <alignment horizontal="center"/>
    </xf>
    <xf numFmtId="0" fontId="19" fillId="0" borderId="13" xfId="0" applyFont="1" applyBorder="1"/>
    <xf numFmtId="0" fontId="12" fillId="0" borderId="0" xfId="0" applyFont="1"/>
    <xf numFmtId="0" fontId="25" fillId="0" borderId="13" xfId="0" applyFont="1" applyBorder="1"/>
    <xf numFmtId="0" fontId="16" fillId="0" borderId="0" xfId="0" applyFont="1"/>
    <xf numFmtId="0" fontId="11" fillId="4" borderId="1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7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wrapText="1"/>
    </xf>
    <xf numFmtId="0" fontId="26" fillId="0" borderId="28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9" fontId="0" fillId="0" borderId="0" xfId="2" applyFont="1" applyBorder="1" applyAlignment="1" applyProtection="1">
      <alignment horizontal="center"/>
    </xf>
    <xf numFmtId="0" fontId="13" fillId="0" borderId="20" xfId="0" applyFont="1" applyBorder="1" applyAlignment="1">
      <alignment horizontal="centerContinuous"/>
    </xf>
    <xf numFmtId="0" fontId="13" fillId="0" borderId="21" xfId="0" applyFont="1" applyBorder="1" applyAlignment="1">
      <alignment horizontal="centerContinuous"/>
    </xf>
    <xf numFmtId="0" fontId="13" fillId="0" borderId="22" xfId="0" applyFont="1" applyBorder="1" applyAlignment="1">
      <alignment horizontal="centerContinuous"/>
    </xf>
    <xf numFmtId="0" fontId="0" fillId="0" borderId="23" xfId="0" applyBorder="1" applyAlignment="1">
      <alignment horizontal="center"/>
    </xf>
    <xf numFmtId="0" fontId="0" fillId="0" borderId="23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12" fillId="0" borderId="26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9" fontId="0" fillId="0" borderId="26" xfId="2" applyFont="1" applyBorder="1" applyAlignment="1" applyProtection="1">
      <alignment horizontal="center"/>
    </xf>
    <xf numFmtId="9" fontId="0" fillId="0" borderId="30" xfId="2" applyFont="1" applyBorder="1" applyAlignment="1" applyProtection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0" xfId="0" applyFont="1"/>
    <xf numFmtId="0" fontId="9" fillId="3" borderId="0" xfId="0" applyFont="1" applyFill="1"/>
    <xf numFmtId="0" fontId="0" fillId="3" borderId="0" xfId="0" applyFill="1"/>
    <xf numFmtId="0" fontId="10" fillId="0" borderId="0" xfId="0" applyFont="1"/>
    <xf numFmtId="0" fontId="3" fillId="7" borderId="0" xfId="0" applyFont="1" applyFill="1"/>
    <xf numFmtId="0" fontId="3" fillId="7" borderId="5" xfId="0" applyFont="1" applyFill="1" applyBorder="1"/>
    <xf numFmtId="0" fontId="22" fillId="0" borderId="13" xfId="0" applyFont="1" applyBorder="1" applyAlignment="1">
      <alignment horizontal="center" vertical="center" wrapText="1"/>
    </xf>
    <xf numFmtId="166" fontId="20" fillId="0" borderId="13" xfId="0" applyNumberFormat="1" applyFont="1" applyBorder="1" applyAlignment="1">
      <alignment horizontal="center"/>
    </xf>
    <xf numFmtId="0" fontId="28" fillId="0" borderId="0" xfId="0" applyFont="1"/>
    <xf numFmtId="0" fontId="29" fillId="0" borderId="0" xfId="0" applyFont="1"/>
    <xf numFmtId="3" fontId="0" fillId="0" borderId="9" xfId="0" applyNumberFormat="1" applyBorder="1" applyAlignment="1">
      <alignment horizontal="center"/>
    </xf>
    <xf numFmtId="0" fontId="11" fillId="4" borderId="0" xfId="0" applyFont="1" applyFill="1" applyAlignment="1">
      <alignment horizontal="center"/>
    </xf>
    <xf numFmtId="164" fontId="26" fillId="2" borderId="13" xfId="0" applyNumberFormat="1" applyFont="1" applyFill="1" applyBorder="1" applyAlignment="1">
      <alignment horizontal="center"/>
    </xf>
    <xf numFmtId="167" fontId="26" fillId="2" borderId="13" xfId="0" applyNumberFormat="1" applyFont="1" applyFill="1" applyBorder="1" applyAlignment="1">
      <alignment horizontal="center"/>
    </xf>
    <xf numFmtId="39" fontId="30" fillId="2" borderId="13" xfId="1" applyNumberFormat="1" applyFont="1" applyFill="1" applyBorder="1" applyAlignment="1" applyProtection="1">
      <alignment horizontal="center"/>
    </xf>
    <xf numFmtId="7" fontId="30" fillId="2" borderId="13" xfId="1" applyNumberFormat="1" applyFont="1" applyFill="1" applyBorder="1" applyAlignment="1" applyProtection="1">
      <alignment horizontal="center"/>
    </xf>
    <xf numFmtId="0" fontId="2" fillId="0" borderId="13" xfId="0" applyFont="1" applyBorder="1"/>
    <xf numFmtId="0" fontId="2" fillId="2" borderId="13" xfId="0" applyFont="1" applyFill="1" applyBorder="1"/>
    <xf numFmtId="9" fontId="0" fillId="0" borderId="13" xfId="2" applyFont="1" applyBorder="1" applyAlignment="1" applyProtection="1">
      <alignment horizontal="left"/>
    </xf>
    <xf numFmtId="0" fontId="0" fillId="0" borderId="13" xfId="0" applyBorder="1" applyAlignment="1">
      <alignment horizontal="left"/>
    </xf>
    <xf numFmtId="7" fontId="0" fillId="0" borderId="13" xfId="1" applyNumberFormat="1" applyFont="1" applyBorder="1" applyAlignment="1" applyProtection="1">
      <alignment horizontal="left"/>
    </xf>
    <xf numFmtId="0" fontId="2" fillId="0" borderId="13" xfId="0" applyFont="1" applyBorder="1" applyAlignment="1">
      <alignment horizontal="right"/>
    </xf>
    <xf numFmtId="0" fontId="0" fillId="2" borderId="13" xfId="0" applyFill="1" applyBorder="1"/>
    <xf numFmtId="0" fontId="0" fillId="0" borderId="13" xfId="0" applyBorder="1" applyAlignment="1">
      <alignment horizontal="right"/>
    </xf>
    <xf numFmtId="0" fontId="10" fillId="0" borderId="13" xfId="0" applyFont="1" applyBorder="1" applyAlignment="1">
      <alignment horizontal="right"/>
    </xf>
    <xf numFmtId="166" fontId="26" fillId="0" borderId="13" xfId="0" applyNumberFormat="1" applyFont="1" applyBorder="1" applyAlignment="1">
      <alignment horizontal="center"/>
    </xf>
    <xf numFmtId="0" fontId="25" fillId="8" borderId="13" xfId="0" applyFont="1" applyFill="1" applyBorder="1"/>
    <xf numFmtId="0" fontId="2" fillId="0" borderId="13" xfId="0" applyFont="1" applyBorder="1" applyAlignment="1">
      <alignment horizontal="left"/>
    </xf>
    <xf numFmtId="0" fontId="1" fillId="0" borderId="13" xfId="3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0" fillId="0" borderId="13" xfId="0" applyBorder="1" applyAlignment="1">
      <alignment wrapText="1"/>
    </xf>
    <xf numFmtId="0" fontId="2" fillId="9" borderId="13" xfId="0" applyFont="1" applyFill="1" applyBorder="1" applyAlignment="1">
      <alignment horizontal="right"/>
    </xf>
    <xf numFmtId="0" fontId="15" fillId="9" borderId="13" xfId="0" applyFont="1" applyFill="1" applyBorder="1"/>
    <xf numFmtId="0" fontId="31" fillId="0" borderId="13" xfId="0" applyFont="1" applyBorder="1"/>
    <xf numFmtId="0" fontId="0" fillId="10" borderId="0" xfId="0" applyFill="1"/>
    <xf numFmtId="0" fontId="0" fillId="10" borderId="0" xfId="0" applyFill="1" applyAlignment="1">
      <alignment horizontal="right"/>
    </xf>
    <xf numFmtId="0" fontId="26" fillId="3" borderId="13" xfId="0" applyFont="1" applyFill="1" applyBorder="1" applyAlignment="1" applyProtection="1">
      <alignment horizontal="center"/>
      <protection locked="0"/>
    </xf>
    <xf numFmtId="1" fontId="26" fillId="2" borderId="13" xfId="0" applyNumberFormat="1" applyFont="1" applyFill="1" applyBorder="1" applyAlignment="1" applyProtection="1">
      <alignment horizontal="center"/>
      <protection locked="0"/>
    </xf>
    <xf numFmtId="0" fontId="32" fillId="0" borderId="0" xfId="0" applyFont="1"/>
    <xf numFmtId="0" fontId="3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urrency" xfId="1" builtinId="4"/>
    <cellStyle name="Normal" xfId="0" builtinId="0"/>
    <cellStyle name="Normal 10" xfId="3" xr:uid="{5D7DC7E4-EEE9-4D46-AFE1-0EF76A23BB0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06428447888297"/>
          <c:y val="7.2674457288053981E-2"/>
          <c:w val="0.85348700837206504"/>
          <c:h val="0.72674457288053984"/>
        </c:manualLayout>
      </c:layout>
      <c:scatterChart>
        <c:scatterStyle val="lineMarker"/>
        <c:varyColors val="0"/>
        <c:ser>
          <c:idx val="0"/>
          <c:order val="0"/>
          <c:tx>
            <c:strRef>
              <c:f>'VFD Calcs'!$C$61</c:f>
              <c:strCache>
                <c:ptCount val="1"/>
                <c:pt idx="0">
                  <c:v>No control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xVal>
            <c:numRef>
              <c:f>'VFD Calcs'!$B$62:$B$67</c:f>
            </c:numRef>
          </c:xVal>
          <c:yVal>
            <c:numRef>
              <c:f>'VFD Calcs'!$C$62:$C$67</c:f>
            </c:numRef>
          </c:yVal>
          <c:smooth val="0"/>
          <c:extLst>
            <c:ext xmlns:c16="http://schemas.microsoft.com/office/drawing/2014/chart" uri="{C3380CC4-5D6E-409C-BE32-E72D297353CC}">
              <c16:uniqueId val="{00000001-3BEA-44DF-B353-6F92C6756897}"/>
            </c:ext>
          </c:extLst>
        </c:ser>
        <c:ser>
          <c:idx val="1"/>
          <c:order val="1"/>
          <c:tx>
            <c:strRef>
              <c:f>'VFD Calcs'!$D$61</c:f>
              <c:strCache>
                <c:ptCount val="1"/>
                <c:pt idx="0">
                  <c:v>Throttling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poly"/>
            <c:order val="2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2697337107897963"/>
                  <c:y val="0.2746123715797932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'VFD Calcs'!$B$62:$B$67</c:f>
            </c:numRef>
          </c:xVal>
          <c:yVal>
            <c:numRef>
              <c:f>'VFD Calcs'!$D$62:$D$67</c:f>
            </c:numRef>
          </c:yVal>
          <c:smooth val="0"/>
          <c:extLst>
            <c:ext xmlns:c16="http://schemas.microsoft.com/office/drawing/2014/chart" uri="{C3380CC4-5D6E-409C-BE32-E72D297353CC}">
              <c16:uniqueId val="{00000003-3BEA-44DF-B353-6F92C6756897}"/>
            </c:ext>
          </c:extLst>
        </c:ser>
        <c:ser>
          <c:idx val="3"/>
          <c:order val="2"/>
          <c:tx>
            <c:strRef>
              <c:f>'VFD Calcs'!$E$61</c:f>
              <c:strCache>
                <c:ptCount val="1"/>
                <c:pt idx="0">
                  <c:v>VFD</c:v>
                </c:pt>
              </c:strCache>
            </c:strRef>
          </c:tx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4"/>
                </a:solidFill>
                <a:prstDash val="sysDash"/>
              </a:ln>
              <a:effectLst/>
            </c:spPr>
            <c:trendlineType val="poly"/>
            <c:order val="3"/>
            <c:intercept val="0"/>
            <c:dispRSqr val="1"/>
            <c:dispEq val="1"/>
            <c:trendlineLbl>
              <c:layout>
                <c:manualLayout>
                  <c:x val="-0.12937352640057351"/>
                  <c:y val="0.3457163017842782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lt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y = x3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'VFD Calcs'!$B$62:$B$67</c:f>
            </c:numRef>
          </c:xVal>
          <c:yVal>
            <c:numRef>
              <c:f>'VFD Calcs'!$E$62:$E$67</c:f>
            </c:numRef>
          </c:yVal>
          <c:smooth val="0"/>
          <c:extLst>
            <c:ext xmlns:c16="http://schemas.microsoft.com/office/drawing/2014/chart" uri="{C3380CC4-5D6E-409C-BE32-E72D297353CC}">
              <c16:uniqueId val="{00000007-3BEA-44DF-B353-6F92C6756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9519304"/>
        <c:axId val="1"/>
      </c:scatterChart>
      <c:valAx>
        <c:axId val="529519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Speed</a:t>
                </a:r>
              </a:p>
            </c:rich>
          </c:tx>
          <c:layout>
            <c:manualLayout>
              <c:xMode val="edge"/>
              <c:yMode val="edge"/>
              <c:x val="0.30963319907592196"/>
              <c:y val="0.895349502716842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Input Power</a:t>
                </a:r>
              </a:p>
            </c:rich>
          </c:tx>
          <c:layout>
            <c:manualLayout>
              <c:xMode val="edge"/>
              <c:yMode val="edge"/>
              <c:x val="6.8807528091246661E-3"/>
              <c:y val="0.16860435923770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519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405895</xdr:colOff>
      <xdr:row>68</xdr:row>
      <xdr:rowOff>112461</xdr:rowOff>
    </xdr:from>
    <xdr:to>
      <xdr:col>2</xdr:col>
      <xdr:colOff>1165412</xdr:colOff>
      <xdr:row>84</xdr:row>
      <xdr:rowOff>78441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B45420-BBC3-4B29-B88C-558EDF8A3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24663</xdr:colOff>
      <xdr:row>16</xdr:row>
      <xdr:rowOff>9525</xdr:rowOff>
    </xdr:from>
    <xdr:to>
      <xdr:col>20</xdr:col>
      <xdr:colOff>224110</xdr:colOff>
      <xdr:row>33</xdr:row>
      <xdr:rowOff>54455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42C868-E362-4F55-9307-EA7E50EB2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8263" y="581025"/>
          <a:ext cx="2637847" cy="3283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B07DA-3043-447C-837B-2B70614631C2}">
  <dimension ref="A1:AM59"/>
  <sheetViews>
    <sheetView topLeftCell="A34" zoomScaleNormal="100" workbookViewId="0">
      <selection activeCell="J59" sqref="J59"/>
    </sheetView>
  </sheetViews>
  <sheetFormatPr defaultRowHeight="15" x14ac:dyDescent="0.25"/>
  <cols>
    <col min="1" max="1" width="13.85546875" customWidth="1"/>
    <col min="2" max="2" width="10.5703125" bestFit="1" customWidth="1"/>
    <col min="3" max="3" width="11.42578125" bestFit="1" customWidth="1"/>
    <col min="4" max="4" width="12.7109375" customWidth="1"/>
    <col min="5" max="6" width="13.7109375" customWidth="1"/>
    <col min="7" max="8" width="11.42578125" customWidth="1"/>
    <col min="9" max="9" width="12.28515625" customWidth="1"/>
    <col min="10" max="10" width="12" bestFit="1" customWidth="1"/>
    <col min="11" max="11" width="18.7109375" hidden="1" customWidth="1"/>
    <col min="12" max="12" width="15.85546875" hidden="1" customWidth="1"/>
    <col min="13" max="13" width="11.28515625" hidden="1" customWidth="1"/>
    <col min="14" max="14" width="3.28515625" hidden="1" customWidth="1"/>
    <col min="15" max="15" width="2.42578125" hidden="1" customWidth="1"/>
    <col min="16" max="16" width="12.7109375" hidden="1" customWidth="1"/>
    <col min="17" max="21" width="11.42578125" hidden="1" customWidth="1"/>
    <col min="22" max="22" width="1.85546875" hidden="1" customWidth="1"/>
    <col min="23" max="23" width="15" customWidth="1"/>
    <col min="24" max="24" width="28.85546875" bestFit="1" customWidth="1"/>
    <col min="25" max="25" width="19.7109375" customWidth="1"/>
    <col min="26" max="26" width="8.28515625" customWidth="1"/>
    <col min="27" max="27" width="13.140625" bestFit="1" customWidth="1"/>
    <col min="29" max="29" width="10.140625" bestFit="1" customWidth="1"/>
    <col min="30" max="30" width="11.42578125" bestFit="1" customWidth="1"/>
    <col min="34" max="34" width="10" bestFit="1" customWidth="1"/>
    <col min="35" max="35" width="11" bestFit="1" customWidth="1"/>
    <col min="38" max="38" width="11.7109375" bestFit="1" customWidth="1"/>
  </cols>
  <sheetData>
    <row r="1" spans="1:39" x14ac:dyDescent="0.25">
      <c r="B1" s="178" t="s">
        <v>0</v>
      </c>
      <c r="C1" s="179"/>
      <c r="D1" s="179"/>
      <c r="E1" s="179"/>
      <c r="F1" s="179"/>
      <c r="G1" s="179"/>
      <c r="H1" s="179"/>
      <c r="I1" s="179"/>
      <c r="J1" s="179"/>
      <c r="K1" s="4"/>
      <c r="L1" s="179"/>
      <c r="M1" s="179"/>
      <c r="N1" s="179"/>
      <c r="O1" s="179"/>
      <c r="P1" s="4"/>
      <c r="Q1" s="178"/>
      <c r="R1" s="178"/>
      <c r="S1" s="178"/>
      <c r="T1" s="178"/>
      <c r="U1" s="178"/>
      <c r="V1" s="4"/>
      <c r="W1" s="4"/>
      <c r="X1" s="4"/>
      <c r="Y1" s="4"/>
      <c r="Z1" s="4"/>
    </row>
    <row r="2" spans="1:39" ht="57.75" customHeight="1" x14ac:dyDescent="0.25">
      <c r="B2" s="4" t="s">
        <v>1</v>
      </c>
      <c r="C2" s="4" t="s">
        <v>2</v>
      </c>
      <c r="D2" s="5" t="s">
        <v>3</v>
      </c>
      <c r="E2" s="5" t="s">
        <v>4</v>
      </c>
      <c r="F2" s="5"/>
      <c r="G2" s="5" t="s">
        <v>5</v>
      </c>
      <c r="H2" s="5"/>
      <c r="I2" s="5" t="s">
        <v>6</v>
      </c>
      <c r="J2" s="4" t="s">
        <v>7</v>
      </c>
      <c r="K2" s="5" t="s">
        <v>8</v>
      </c>
      <c r="L2" s="5" t="s">
        <v>9</v>
      </c>
      <c r="M2" s="5" t="s">
        <v>5</v>
      </c>
      <c r="N2" s="5" t="s">
        <v>6</v>
      </c>
      <c r="O2" s="4" t="s">
        <v>10</v>
      </c>
      <c r="P2" s="4"/>
      <c r="Q2" s="5" t="s">
        <v>5</v>
      </c>
      <c r="R2" s="5" t="s">
        <v>11</v>
      </c>
      <c r="S2" s="5" t="s">
        <v>6</v>
      </c>
      <c r="T2" s="5" t="s">
        <v>12</v>
      </c>
      <c r="U2" s="5" t="s">
        <v>13</v>
      </c>
      <c r="V2" s="4"/>
      <c r="W2" s="4">
        <v>2025</v>
      </c>
      <c r="X2" s="5" t="s">
        <v>14</v>
      </c>
      <c r="Y2" s="5" t="s">
        <v>15</v>
      </c>
      <c r="Z2" s="5" t="s">
        <v>16</v>
      </c>
    </row>
    <row r="3" spans="1:39" x14ac:dyDescent="0.25">
      <c r="B3" s="4"/>
      <c r="C3" s="4"/>
      <c r="D3" s="4"/>
      <c r="E3" s="4"/>
      <c r="F3" s="4"/>
      <c r="G3" s="4"/>
      <c r="H3" s="4"/>
      <c r="I3" s="4"/>
      <c r="J3" s="4" t="s">
        <v>17</v>
      </c>
      <c r="K3" s="4"/>
      <c r="L3" s="4"/>
      <c r="M3" s="4"/>
      <c r="N3" s="4"/>
      <c r="O3" s="4" t="s">
        <v>17</v>
      </c>
      <c r="P3" s="4"/>
      <c r="Q3" s="4"/>
      <c r="R3" s="4"/>
      <c r="S3" s="4"/>
      <c r="T3" s="4"/>
      <c r="U3" s="4" t="s">
        <v>17</v>
      </c>
      <c r="V3" s="4"/>
      <c r="W3" s="4" t="s">
        <v>17</v>
      </c>
      <c r="X3" s="4" t="s">
        <v>18</v>
      </c>
      <c r="Y3" s="4"/>
      <c r="Z3" s="4"/>
      <c r="AA3" t="s">
        <v>19</v>
      </c>
      <c r="AD3" t="s">
        <v>20</v>
      </c>
      <c r="AE3" t="s">
        <v>21</v>
      </c>
      <c r="AL3" t="s">
        <v>22</v>
      </c>
    </row>
    <row r="4" spans="1:39" x14ac:dyDescent="0.25">
      <c r="A4" s="12">
        <v>165</v>
      </c>
      <c r="B4" s="3">
        <v>1</v>
      </c>
      <c r="C4">
        <v>12</v>
      </c>
      <c r="D4">
        <v>14.5</v>
      </c>
      <c r="E4">
        <v>0.06</v>
      </c>
      <c r="I4" s="6"/>
      <c r="J4" s="2">
        <f t="shared" ref="J4:J10" si="0">E4*$A$4</f>
        <v>9.9</v>
      </c>
      <c r="K4" s="7">
        <v>13.802</v>
      </c>
      <c r="L4" s="10">
        <v>2.3187943776264298E-2</v>
      </c>
      <c r="N4" s="6"/>
      <c r="O4" s="2">
        <f>L4*$A$4</f>
        <v>3.8260107230836091</v>
      </c>
      <c r="P4" s="2"/>
      <c r="S4" s="6"/>
      <c r="U4" s="2"/>
      <c r="V4" s="2"/>
      <c r="W4" s="2">
        <f>E4*$A$5</f>
        <v>49.199999999999996</v>
      </c>
      <c r="X4" s="9"/>
      <c r="Y4" s="9"/>
      <c r="Z4" s="9"/>
    </row>
    <row r="5" spans="1:39" x14ac:dyDescent="0.25">
      <c r="A5" s="12">
        <v>820</v>
      </c>
      <c r="B5" s="3">
        <v>2</v>
      </c>
      <c r="C5">
        <v>24</v>
      </c>
      <c r="D5">
        <v>14.5</v>
      </c>
      <c r="E5">
        <v>0.121</v>
      </c>
      <c r="I5" s="6"/>
      <c r="J5" s="2">
        <f t="shared" si="0"/>
        <v>19.965</v>
      </c>
      <c r="K5" s="7">
        <v>13.802</v>
      </c>
      <c r="L5" s="10">
        <f>$L$4*(C5/$C$4)</f>
        <v>4.6375887552528597E-2</v>
      </c>
      <c r="N5" s="6"/>
      <c r="O5" s="2">
        <f t="shared" ref="O5:O11" si="1">L5*$A$4</f>
        <v>7.6520214461672182</v>
      </c>
      <c r="P5" s="2"/>
      <c r="S5" s="6"/>
      <c r="U5" s="2"/>
      <c r="V5" s="2"/>
      <c r="W5" s="2">
        <f t="shared" ref="W5:W10" si="2">E5*$A$5</f>
        <v>99.22</v>
      </c>
      <c r="X5" s="9"/>
      <c r="Y5" s="9"/>
      <c r="Z5" s="9"/>
    </row>
    <row r="6" spans="1:39" x14ac:dyDescent="0.25">
      <c r="B6" s="3">
        <v>2.5</v>
      </c>
      <c r="C6">
        <v>30</v>
      </c>
      <c r="D6">
        <v>14.5</v>
      </c>
      <c r="E6">
        <v>0.151</v>
      </c>
      <c r="I6" s="6"/>
      <c r="J6" s="2">
        <f t="shared" si="0"/>
        <v>24.914999999999999</v>
      </c>
      <c r="K6" s="7">
        <v>13.802</v>
      </c>
      <c r="L6" s="10">
        <f>$L$4*(C6/$C$4)</f>
        <v>5.7969859440660743E-2</v>
      </c>
      <c r="N6" s="6"/>
      <c r="O6" s="2">
        <f t="shared" si="1"/>
        <v>9.5650268077090228</v>
      </c>
      <c r="P6" s="2"/>
      <c r="S6" s="6"/>
      <c r="U6" s="2"/>
      <c r="V6" s="2"/>
      <c r="W6" s="2">
        <f t="shared" si="2"/>
        <v>123.82</v>
      </c>
      <c r="X6" s="9"/>
      <c r="Y6" s="9"/>
      <c r="Z6" s="9"/>
    </row>
    <row r="7" spans="1:39" x14ac:dyDescent="0.25">
      <c r="B7" s="3">
        <v>3</v>
      </c>
      <c r="C7">
        <v>36</v>
      </c>
      <c r="D7">
        <v>14.5</v>
      </c>
      <c r="E7">
        <v>0.18099999999999999</v>
      </c>
      <c r="I7" s="6"/>
      <c r="J7" s="2">
        <f t="shared" si="0"/>
        <v>29.864999999999998</v>
      </c>
      <c r="K7" s="7">
        <v>13.802</v>
      </c>
      <c r="L7" s="10">
        <f>$L$4*(C7/$C$4)</f>
        <v>6.9563831328792902E-2</v>
      </c>
      <c r="N7" s="6"/>
      <c r="O7" s="2">
        <f t="shared" si="1"/>
        <v>11.478032169250829</v>
      </c>
      <c r="P7" s="2"/>
      <c r="S7" s="6"/>
      <c r="U7" s="2"/>
      <c r="V7" s="2"/>
      <c r="W7" s="2">
        <f t="shared" si="2"/>
        <v>148.41999999999999</v>
      </c>
      <c r="X7" s="9"/>
      <c r="Y7" s="9"/>
      <c r="Z7" s="9"/>
    </row>
    <row r="8" spans="1:39" x14ac:dyDescent="0.25">
      <c r="B8" s="3">
        <v>4</v>
      </c>
      <c r="C8">
        <v>48</v>
      </c>
      <c r="D8">
        <v>14.5</v>
      </c>
      <c r="E8">
        <v>0.24199999999999999</v>
      </c>
      <c r="I8" s="6"/>
      <c r="J8" s="2">
        <f t="shared" si="0"/>
        <v>39.93</v>
      </c>
      <c r="K8" s="7">
        <v>13.802</v>
      </c>
      <c r="L8" s="10">
        <f>$L$4*(C8/$C$4)</f>
        <v>9.2751775105057194E-2</v>
      </c>
      <c r="N8" s="6"/>
      <c r="O8" s="2">
        <f t="shared" si="1"/>
        <v>15.304042892334436</v>
      </c>
      <c r="P8" s="2"/>
      <c r="S8" s="6"/>
      <c r="U8" s="2"/>
      <c r="V8" s="2"/>
      <c r="W8" s="2">
        <f t="shared" si="2"/>
        <v>198.44</v>
      </c>
      <c r="X8" s="9"/>
      <c r="Y8" s="9"/>
      <c r="Z8" s="9"/>
    </row>
    <row r="9" spans="1:39" x14ac:dyDescent="0.25">
      <c r="B9" s="3">
        <v>5</v>
      </c>
      <c r="C9">
        <f>B9*12</f>
        <v>60</v>
      </c>
      <c r="D9">
        <v>14.5</v>
      </c>
      <c r="E9">
        <v>0.30199999999999999</v>
      </c>
      <c r="I9" s="6"/>
      <c r="J9" s="2">
        <f t="shared" si="0"/>
        <v>49.83</v>
      </c>
      <c r="K9" s="7">
        <v>13.802</v>
      </c>
      <c r="L9" s="10">
        <f>$L$4*(C9/$C$4)</f>
        <v>0.11593971888132149</v>
      </c>
      <c r="O9" s="2">
        <f t="shared" si="1"/>
        <v>19.130053615418046</v>
      </c>
      <c r="P9" s="2"/>
      <c r="W9" s="2">
        <f t="shared" si="2"/>
        <v>247.64</v>
      </c>
      <c r="X9" s="9"/>
      <c r="Y9" s="9"/>
      <c r="Z9" s="9"/>
      <c r="AA9" t="s">
        <v>23</v>
      </c>
      <c r="AB9" t="s">
        <v>24</v>
      </c>
      <c r="AC9" t="s">
        <v>25</v>
      </c>
      <c r="AD9" t="s">
        <v>26</v>
      </c>
      <c r="AE9" t="s">
        <v>23</v>
      </c>
      <c r="AF9" t="s">
        <v>27</v>
      </c>
      <c r="AG9" t="s">
        <v>28</v>
      </c>
      <c r="AH9" t="s">
        <v>29</v>
      </c>
      <c r="AI9" t="s">
        <v>30</v>
      </c>
      <c r="AJ9" t="s">
        <v>31</v>
      </c>
      <c r="AK9" t="s">
        <v>32</v>
      </c>
      <c r="AL9" t="s">
        <v>33</v>
      </c>
      <c r="AM9" t="s">
        <v>34</v>
      </c>
    </row>
    <row r="10" spans="1:39" x14ac:dyDescent="0.25">
      <c r="B10" s="3">
        <v>5.4</v>
      </c>
      <c r="C10">
        <f>B10*12</f>
        <v>64.800000000000011</v>
      </c>
      <c r="D10">
        <v>14.5</v>
      </c>
      <c r="E10">
        <v>0.32600000000000001</v>
      </c>
      <c r="I10" s="6"/>
      <c r="J10" s="2">
        <f t="shared" si="0"/>
        <v>53.79</v>
      </c>
      <c r="K10" s="7"/>
      <c r="L10" s="10"/>
      <c r="O10" s="2"/>
      <c r="P10" s="2"/>
      <c r="W10" s="2">
        <f t="shared" si="2"/>
        <v>267.32</v>
      </c>
      <c r="X10" s="9"/>
      <c r="Y10" s="9"/>
      <c r="Z10" s="9"/>
    </row>
    <row r="11" spans="1:39" x14ac:dyDescent="0.25">
      <c r="A11" s="13" t="s">
        <v>20</v>
      </c>
      <c r="B11" s="14"/>
      <c r="C11" s="13"/>
      <c r="D11" s="13"/>
      <c r="E11" s="15">
        <f>AVERAGE(E4:E10)</f>
        <v>0.19757142857142856</v>
      </c>
      <c r="F11" s="15"/>
      <c r="G11" s="21">
        <v>0.20100000000000001</v>
      </c>
      <c r="H11" s="21"/>
      <c r="I11" s="16">
        <f>E11-G11</f>
        <v>-3.4285714285714475E-3</v>
      </c>
      <c r="J11" s="17">
        <f>AVERAGE(J4:J10)</f>
        <v>32.599285714285706</v>
      </c>
      <c r="K11" s="13"/>
      <c r="L11" s="15">
        <f>AVERAGE(L4:L9)</f>
        <v>6.763150268077088E-2</v>
      </c>
      <c r="M11" s="13">
        <v>0.245</v>
      </c>
      <c r="N11" s="16">
        <f>L11-M11</f>
        <v>-0.1773684973192291</v>
      </c>
      <c r="O11" s="19">
        <f t="shared" si="1"/>
        <v>11.159197942327195</v>
      </c>
      <c r="P11" s="19"/>
      <c r="Q11" s="13">
        <v>0.245</v>
      </c>
      <c r="R11" s="13">
        <v>0.30199999999999999</v>
      </c>
      <c r="S11" s="16">
        <f>R11-Q11</f>
        <v>5.6999999999999995E-2</v>
      </c>
      <c r="T11" s="13">
        <v>14.5</v>
      </c>
      <c r="U11" s="19">
        <v>247.62</v>
      </c>
      <c r="V11" s="19"/>
      <c r="W11" s="17">
        <f>AVERAGE(W4:W10)</f>
        <v>162.00857142857143</v>
      </c>
      <c r="X11" s="18" t="s">
        <v>35</v>
      </c>
      <c r="Y11" s="4">
        <v>539</v>
      </c>
      <c r="Z11" s="4"/>
      <c r="AA11">
        <v>13.65</v>
      </c>
      <c r="AB11">
        <v>14.07</v>
      </c>
      <c r="AC11" s="2">
        <v>40.090000000000003</v>
      </c>
      <c r="AD11">
        <v>4.8896000000000002E-2</v>
      </c>
      <c r="AE11">
        <v>14.5</v>
      </c>
      <c r="AF11">
        <v>5</v>
      </c>
      <c r="AG11">
        <v>0.24448</v>
      </c>
      <c r="AH11" s="2">
        <v>820</v>
      </c>
      <c r="AI11" s="2">
        <f>AG11*AH11</f>
        <v>200.4736</v>
      </c>
      <c r="AL11" s="2">
        <v>220</v>
      </c>
    </row>
    <row r="12" spans="1:39" ht="18.75" x14ac:dyDescent="0.3">
      <c r="B12" s="3"/>
      <c r="D12" s="24"/>
      <c r="E12" s="23"/>
      <c r="F12" s="23"/>
      <c r="I12" s="6"/>
      <c r="J12" s="2"/>
      <c r="N12" s="6"/>
      <c r="O12" s="2"/>
      <c r="P12" s="2"/>
      <c r="S12" s="6"/>
      <c r="U12" s="2"/>
      <c r="V12" s="2"/>
      <c r="W12" s="20">
        <v>200</v>
      </c>
      <c r="X12" s="29">
        <f>W12*Y12</f>
        <v>100.93632958801497</v>
      </c>
      <c r="Y12" s="25">
        <f>Y11/$Y$58</f>
        <v>0.50468164794007486</v>
      </c>
      <c r="Z12" s="9"/>
      <c r="AA12">
        <v>11.34</v>
      </c>
      <c r="AB12">
        <v>14.6</v>
      </c>
      <c r="AC12" s="2">
        <v>29.99</v>
      </c>
      <c r="AD12">
        <v>3.6574666999999998E-2</v>
      </c>
      <c r="AE12">
        <v>12</v>
      </c>
      <c r="AF12">
        <v>7.5</v>
      </c>
      <c r="AG12">
        <v>0.27431</v>
      </c>
      <c r="AH12" s="2">
        <v>820</v>
      </c>
      <c r="AI12" s="2">
        <f t="shared" ref="AI12" si="3">AG12*AH12</f>
        <v>224.9342</v>
      </c>
      <c r="AL12" s="2">
        <v>220</v>
      </c>
    </row>
    <row r="13" spans="1:39" ht="18.75" x14ac:dyDescent="0.3">
      <c r="B13" s="3"/>
      <c r="I13" s="6"/>
      <c r="J13" s="2"/>
      <c r="N13" s="6"/>
      <c r="O13" s="2"/>
      <c r="P13" s="2"/>
      <c r="S13" s="6"/>
      <c r="U13" s="2"/>
      <c r="V13" s="2"/>
      <c r="W13" s="20"/>
      <c r="X13" s="9"/>
      <c r="Y13" s="9"/>
      <c r="Z13" s="9"/>
      <c r="AA13">
        <v>10.92</v>
      </c>
      <c r="AB13">
        <v>13.97</v>
      </c>
      <c r="AC13" s="2">
        <v>20</v>
      </c>
      <c r="AD13">
        <v>2.4287333000000001E-2</v>
      </c>
      <c r="AE13">
        <v>11.5</v>
      </c>
      <c r="AF13">
        <v>15</v>
      </c>
      <c r="AG13">
        <v>0.36431000000000002</v>
      </c>
      <c r="AH13" s="2">
        <v>823.47</v>
      </c>
      <c r="AI13" s="2">
        <f>AG13*AH13</f>
        <v>299.99835570000005</v>
      </c>
      <c r="AL13" s="2">
        <v>300</v>
      </c>
      <c r="AM13">
        <v>15</v>
      </c>
    </row>
    <row r="14" spans="1:39" x14ac:dyDescent="0.25">
      <c r="B14" s="3">
        <v>5.5</v>
      </c>
      <c r="C14">
        <f>B14*12</f>
        <v>66</v>
      </c>
      <c r="D14">
        <v>12</v>
      </c>
      <c r="E14">
        <v>0.34899999999999998</v>
      </c>
      <c r="I14" s="6"/>
      <c r="J14" s="2">
        <f t="shared" ref="J14:J26" si="4">E14*$A$4</f>
        <v>57.584999999999994</v>
      </c>
      <c r="K14" s="7">
        <v>11.536</v>
      </c>
      <c r="L14" s="10">
        <v>0.98762697435154312</v>
      </c>
      <c r="N14" s="6"/>
      <c r="O14" s="2">
        <f>L14*$A$4</f>
        <v>162.95845076800461</v>
      </c>
      <c r="P14" s="2"/>
      <c r="S14" s="6"/>
      <c r="U14" s="2"/>
      <c r="V14" s="2"/>
      <c r="W14" s="2">
        <f>E14*$A$5</f>
        <v>286.18</v>
      </c>
      <c r="X14" s="9"/>
      <c r="Y14" s="9"/>
      <c r="Z14" s="9"/>
      <c r="AA14">
        <v>9.77</v>
      </c>
      <c r="AB14">
        <v>12.92</v>
      </c>
      <c r="AL14" s="2">
        <v>400</v>
      </c>
      <c r="AM14">
        <v>20</v>
      </c>
    </row>
    <row r="15" spans="1:39" x14ac:dyDescent="0.25">
      <c r="B15" s="3">
        <v>6</v>
      </c>
      <c r="C15">
        <f>B15*12</f>
        <v>72</v>
      </c>
      <c r="D15">
        <v>12</v>
      </c>
      <c r="E15">
        <v>0.38100000000000001</v>
      </c>
      <c r="I15" s="6"/>
      <c r="J15" s="2">
        <f t="shared" si="4"/>
        <v>62.865000000000002</v>
      </c>
      <c r="K15" s="7">
        <v>11.536</v>
      </c>
      <c r="L15" s="10">
        <f t="shared" ref="L15:L26" si="5">$L$14*(C15/$C$14)</f>
        <v>1.0774112447471378</v>
      </c>
      <c r="N15" s="6"/>
      <c r="O15" s="2">
        <f t="shared" ref="O15:O26" si="6">L15*$A$4</f>
        <v>177.77285538327774</v>
      </c>
      <c r="P15" s="2"/>
      <c r="S15" s="6"/>
      <c r="U15" s="2"/>
      <c r="V15" s="2"/>
      <c r="W15" s="2">
        <f t="shared" ref="W15:W26" si="7">E15*$A$5</f>
        <v>312.42</v>
      </c>
      <c r="X15" s="9"/>
      <c r="Y15" s="9"/>
      <c r="Z15" s="9"/>
      <c r="AA15">
        <v>9.77</v>
      </c>
      <c r="AB15">
        <v>10.5</v>
      </c>
      <c r="AL15" s="2">
        <v>1200</v>
      </c>
      <c r="AM15">
        <v>60</v>
      </c>
    </row>
    <row r="16" spans="1:39" x14ac:dyDescent="0.25">
      <c r="B16" s="3">
        <v>6.5</v>
      </c>
      <c r="C16">
        <f t="shared" ref="C16:C17" si="8">B16*12</f>
        <v>78</v>
      </c>
      <c r="D16">
        <v>12</v>
      </c>
      <c r="E16">
        <v>0.41299999999999998</v>
      </c>
      <c r="I16" s="6"/>
      <c r="J16" s="2">
        <f t="shared" si="4"/>
        <v>68.144999999999996</v>
      </c>
      <c r="K16" s="7">
        <v>11.536</v>
      </c>
      <c r="L16" s="10">
        <f t="shared" si="5"/>
        <v>1.1671955151427329</v>
      </c>
      <c r="N16" s="6"/>
      <c r="O16" s="2">
        <f t="shared" si="6"/>
        <v>192.58725999855093</v>
      </c>
      <c r="P16" s="2"/>
      <c r="S16" s="6"/>
      <c r="U16" s="2"/>
      <c r="V16" s="2"/>
      <c r="W16" s="2">
        <f t="shared" si="7"/>
        <v>338.65999999999997</v>
      </c>
      <c r="X16" s="9"/>
      <c r="Y16" s="9"/>
      <c r="Z16" s="9"/>
      <c r="AL16" s="2">
        <v>2000</v>
      </c>
      <c r="AM16">
        <v>100</v>
      </c>
    </row>
    <row r="17" spans="1:26" x14ac:dyDescent="0.25">
      <c r="B17" s="3">
        <v>7</v>
      </c>
      <c r="C17">
        <f t="shared" si="8"/>
        <v>84</v>
      </c>
      <c r="D17">
        <v>12</v>
      </c>
      <c r="E17">
        <v>0.44500000000000001</v>
      </c>
      <c r="I17" s="6"/>
      <c r="J17" s="2">
        <f t="shared" si="4"/>
        <v>73.424999999999997</v>
      </c>
      <c r="K17" s="7">
        <v>11.536</v>
      </c>
      <c r="L17" s="10">
        <f t="shared" si="5"/>
        <v>1.2569797855383276</v>
      </c>
      <c r="N17" s="6"/>
      <c r="O17" s="2">
        <f t="shared" si="6"/>
        <v>207.40166461382404</v>
      </c>
      <c r="P17" s="2"/>
      <c r="S17" s="6"/>
      <c r="U17" s="2"/>
      <c r="V17" s="2"/>
      <c r="W17" s="2">
        <f t="shared" si="7"/>
        <v>364.9</v>
      </c>
      <c r="X17" s="9"/>
      <c r="Y17" s="9"/>
      <c r="Z17" s="9"/>
    </row>
    <row r="18" spans="1:26" x14ac:dyDescent="0.25">
      <c r="B18" s="3">
        <v>7.5</v>
      </c>
      <c r="C18">
        <f t="shared" ref="C18:C26" si="9">B18*12</f>
        <v>90</v>
      </c>
      <c r="D18">
        <v>12</v>
      </c>
      <c r="E18">
        <v>0.47599999999999998</v>
      </c>
      <c r="J18" s="2">
        <f t="shared" si="4"/>
        <v>78.539999999999992</v>
      </c>
      <c r="K18" s="7">
        <v>11.536</v>
      </c>
      <c r="L18" s="10">
        <f t="shared" si="5"/>
        <v>1.3467640559339222</v>
      </c>
      <c r="N18" s="6"/>
      <c r="O18" s="2">
        <f t="shared" si="6"/>
        <v>222.21606922909717</v>
      </c>
      <c r="P18" s="2"/>
      <c r="Q18">
        <v>0.27429999999999999</v>
      </c>
      <c r="R18">
        <v>0.47599999999999998</v>
      </c>
      <c r="S18" s="6">
        <f t="shared" ref="S18:S34" si="10">R18-Q18</f>
        <v>0.20169999999999999</v>
      </c>
      <c r="T18">
        <v>12</v>
      </c>
      <c r="U18" s="2">
        <v>390.53</v>
      </c>
      <c r="V18" s="2"/>
      <c r="W18" s="2">
        <f t="shared" si="7"/>
        <v>390.32</v>
      </c>
      <c r="X18" s="9"/>
      <c r="Y18" s="9"/>
      <c r="Z18" s="9"/>
    </row>
    <row r="19" spans="1:26" x14ac:dyDescent="0.25">
      <c r="B19" s="3">
        <v>8</v>
      </c>
      <c r="C19">
        <f t="shared" si="9"/>
        <v>96</v>
      </c>
      <c r="D19">
        <v>12</v>
      </c>
      <c r="E19">
        <v>0.50800000000000001</v>
      </c>
      <c r="I19" s="6"/>
      <c r="J19" s="2">
        <f t="shared" si="4"/>
        <v>83.820000000000007</v>
      </c>
      <c r="K19" s="7">
        <v>11.536</v>
      </c>
      <c r="L19" s="10">
        <f t="shared" si="5"/>
        <v>1.4365483263295173</v>
      </c>
      <c r="N19" s="6"/>
      <c r="O19" s="2">
        <f t="shared" si="6"/>
        <v>237.03047384437036</v>
      </c>
      <c r="P19" s="2"/>
      <c r="S19" s="6"/>
      <c r="U19" s="2"/>
      <c r="V19" s="2"/>
      <c r="W19" s="2">
        <f t="shared" si="7"/>
        <v>416.56</v>
      </c>
      <c r="X19" s="9"/>
      <c r="Y19" s="9"/>
      <c r="Z19" s="9"/>
    </row>
    <row r="20" spans="1:26" x14ac:dyDescent="0.25">
      <c r="B20" s="3">
        <v>8.5</v>
      </c>
      <c r="C20">
        <f t="shared" si="9"/>
        <v>102</v>
      </c>
      <c r="D20">
        <v>12</v>
      </c>
      <c r="E20">
        <v>0.54</v>
      </c>
      <c r="I20" s="6"/>
      <c r="J20" s="2">
        <f t="shared" si="4"/>
        <v>89.100000000000009</v>
      </c>
      <c r="K20" s="7">
        <v>11.536</v>
      </c>
      <c r="L20" s="10">
        <f t="shared" si="5"/>
        <v>1.526332596725112</v>
      </c>
      <c r="N20" s="6"/>
      <c r="O20" s="2">
        <f t="shared" si="6"/>
        <v>251.8448784596435</v>
      </c>
      <c r="P20" s="2"/>
      <c r="S20" s="6"/>
      <c r="U20" s="2"/>
      <c r="V20" s="2"/>
      <c r="W20" s="2">
        <f t="shared" si="7"/>
        <v>442.8</v>
      </c>
      <c r="X20" s="9"/>
      <c r="Y20" s="9"/>
      <c r="Z20" s="9"/>
    </row>
    <row r="21" spans="1:26" x14ac:dyDescent="0.25">
      <c r="B21" s="3">
        <v>9</v>
      </c>
      <c r="C21">
        <f t="shared" si="9"/>
        <v>108</v>
      </c>
      <c r="D21">
        <v>12</v>
      </c>
      <c r="E21">
        <v>0.57199999999999995</v>
      </c>
      <c r="I21" s="6"/>
      <c r="J21" s="2">
        <f t="shared" si="4"/>
        <v>94.38</v>
      </c>
      <c r="K21" s="7">
        <v>11.536</v>
      </c>
      <c r="L21" s="10">
        <f t="shared" si="5"/>
        <v>1.6161168671207071</v>
      </c>
      <c r="N21" s="6"/>
      <c r="O21" s="2">
        <f t="shared" si="6"/>
        <v>266.65928307491669</v>
      </c>
      <c r="P21" s="2"/>
      <c r="S21" s="6"/>
      <c r="U21" s="2"/>
      <c r="V21" s="2"/>
      <c r="W21" s="2">
        <f t="shared" si="7"/>
        <v>469.03999999999996</v>
      </c>
      <c r="X21" s="9"/>
      <c r="Y21" s="9"/>
      <c r="Z21" s="9"/>
    </row>
    <row r="22" spans="1:26" x14ac:dyDescent="0.25">
      <c r="B22" s="3">
        <v>9.5</v>
      </c>
      <c r="C22">
        <f t="shared" si="9"/>
        <v>114</v>
      </c>
      <c r="D22">
        <v>12</v>
      </c>
      <c r="E22">
        <v>0.60299999999999998</v>
      </c>
      <c r="I22" s="6"/>
      <c r="J22" s="2">
        <f t="shared" si="4"/>
        <v>99.49499999999999</v>
      </c>
      <c r="K22" s="7">
        <v>11.536</v>
      </c>
      <c r="L22" s="10">
        <f t="shared" si="5"/>
        <v>1.7059011375163018</v>
      </c>
      <c r="N22" s="6"/>
      <c r="O22" s="2">
        <f t="shared" si="6"/>
        <v>281.47368769018982</v>
      </c>
      <c r="P22" s="2"/>
      <c r="S22" s="6"/>
      <c r="U22" s="2"/>
      <c r="V22" s="2"/>
      <c r="W22" s="2">
        <f t="shared" si="7"/>
        <v>494.46</v>
      </c>
      <c r="X22" s="9"/>
      <c r="Y22" s="9"/>
      <c r="Z22" s="9"/>
    </row>
    <row r="23" spans="1:26" x14ac:dyDescent="0.25">
      <c r="B23" s="3">
        <v>10</v>
      </c>
      <c r="C23">
        <f t="shared" si="9"/>
        <v>120</v>
      </c>
      <c r="D23">
        <v>12</v>
      </c>
      <c r="E23">
        <v>0.63500000000000001</v>
      </c>
      <c r="I23" s="6"/>
      <c r="J23" s="2">
        <f t="shared" si="4"/>
        <v>104.77500000000001</v>
      </c>
      <c r="K23" s="7">
        <v>11.536</v>
      </c>
      <c r="L23" s="10">
        <f t="shared" si="5"/>
        <v>1.7956854079118965</v>
      </c>
      <c r="N23" s="6"/>
      <c r="O23" s="2">
        <f t="shared" si="6"/>
        <v>296.2880923054629</v>
      </c>
      <c r="P23" s="2"/>
      <c r="S23" s="6"/>
      <c r="U23" s="2"/>
      <c r="V23" s="2"/>
      <c r="W23" s="2">
        <f t="shared" si="7"/>
        <v>520.70000000000005</v>
      </c>
      <c r="X23" s="9"/>
      <c r="Y23" s="9"/>
      <c r="Z23" s="9"/>
    </row>
    <row r="24" spans="1:26" x14ac:dyDescent="0.25">
      <c r="B24" s="3">
        <v>10.5</v>
      </c>
      <c r="C24">
        <f t="shared" si="9"/>
        <v>126</v>
      </c>
      <c r="D24">
        <v>12</v>
      </c>
      <c r="E24">
        <v>0.66700000000000004</v>
      </c>
      <c r="I24" s="6"/>
      <c r="J24" s="2">
        <f t="shared" si="4"/>
        <v>110.05500000000001</v>
      </c>
      <c r="K24" s="7">
        <v>11.536</v>
      </c>
      <c r="L24" s="10">
        <f t="shared" si="5"/>
        <v>1.8854696783074916</v>
      </c>
      <c r="N24" s="6"/>
      <c r="O24" s="2">
        <f t="shared" si="6"/>
        <v>311.10249692073609</v>
      </c>
      <c r="P24" s="2"/>
      <c r="S24" s="6"/>
      <c r="U24" s="2"/>
      <c r="V24" s="2"/>
      <c r="W24" s="2">
        <f t="shared" si="7"/>
        <v>546.94000000000005</v>
      </c>
      <c r="X24" s="9"/>
      <c r="Y24" s="9"/>
      <c r="Z24" s="9"/>
    </row>
    <row r="25" spans="1:26" x14ac:dyDescent="0.25">
      <c r="B25" s="3">
        <v>11</v>
      </c>
      <c r="C25">
        <f t="shared" si="9"/>
        <v>132</v>
      </c>
      <c r="D25">
        <v>12</v>
      </c>
      <c r="E25">
        <v>0.69899999999999995</v>
      </c>
      <c r="I25" s="6"/>
      <c r="J25" s="2">
        <f t="shared" si="4"/>
        <v>115.33499999999999</v>
      </c>
      <c r="K25" s="7">
        <v>11.536</v>
      </c>
      <c r="L25" s="10">
        <f t="shared" si="5"/>
        <v>1.9752539487030862</v>
      </c>
      <c r="N25" s="6"/>
      <c r="O25" s="2">
        <f t="shared" si="6"/>
        <v>325.91690153600922</v>
      </c>
      <c r="P25" s="2"/>
      <c r="S25" s="6"/>
      <c r="U25" s="2"/>
      <c r="V25" s="2"/>
      <c r="W25" s="2">
        <f t="shared" si="7"/>
        <v>573.17999999999995</v>
      </c>
      <c r="X25" s="9"/>
      <c r="Y25" s="9"/>
      <c r="Z25" s="9"/>
    </row>
    <row r="26" spans="1:26" x14ac:dyDescent="0.25">
      <c r="B26" s="8">
        <v>11.25</v>
      </c>
      <c r="C26">
        <f t="shared" si="9"/>
        <v>135</v>
      </c>
      <c r="D26">
        <v>12</v>
      </c>
      <c r="E26">
        <v>0.90900000000000003</v>
      </c>
      <c r="I26" s="6"/>
      <c r="J26" s="2">
        <f t="shared" si="4"/>
        <v>149.98500000000001</v>
      </c>
      <c r="K26" s="7">
        <v>11.536</v>
      </c>
      <c r="L26" s="10">
        <f t="shared" si="5"/>
        <v>2.0201460839008836</v>
      </c>
      <c r="N26" s="6"/>
      <c r="O26" s="2">
        <f t="shared" si="6"/>
        <v>333.32410384364579</v>
      </c>
      <c r="P26" s="2"/>
      <c r="S26" s="6"/>
      <c r="U26" s="2"/>
      <c r="V26" s="2"/>
      <c r="W26" s="2">
        <f t="shared" si="7"/>
        <v>745.38</v>
      </c>
      <c r="X26" s="9"/>
      <c r="Y26" s="9"/>
      <c r="Z26" s="9"/>
    </row>
    <row r="27" spans="1:26" x14ac:dyDescent="0.25">
      <c r="A27" s="13" t="s">
        <v>20</v>
      </c>
      <c r="B27" s="14"/>
      <c r="C27" s="13"/>
      <c r="D27" s="13"/>
      <c r="E27" s="15">
        <f>AVERAGE(E14:E26)</f>
        <v>0.55361538461538451</v>
      </c>
      <c r="F27" s="15"/>
      <c r="G27" s="21">
        <v>0.20799999999999999</v>
      </c>
      <c r="H27" s="21"/>
      <c r="I27" s="16">
        <f>E27-G27</f>
        <v>0.34561538461538455</v>
      </c>
      <c r="J27" s="17">
        <f>AVERAGE(J14:J26)</f>
        <v>91.346538461538472</v>
      </c>
      <c r="K27" s="13"/>
      <c r="L27" s="15">
        <f>AVERAGE(L14:L26)</f>
        <v>1.5228793555560505</v>
      </c>
      <c r="M27" s="13">
        <v>0.27429999999999999</v>
      </c>
      <c r="N27" s="16">
        <f>L27-M27</f>
        <v>1.2485793555560505</v>
      </c>
      <c r="O27" s="19">
        <f>L27*$A$4</f>
        <v>251.27509366674832</v>
      </c>
      <c r="P27" s="19"/>
      <c r="Q27" s="13"/>
      <c r="R27" s="13"/>
      <c r="S27" s="16"/>
      <c r="T27" s="13"/>
      <c r="U27" s="19"/>
      <c r="V27" s="19"/>
      <c r="W27" s="17">
        <f>AVERAGE(W14:W26)</f>
        <v>453.9646153846154</v>
      </c>
      <c r="X27" s="18" t="s">
        <v>36</v>
      </c>
      <c r="Y27" s="4">
        <v>227</v>
      </c>
      <c r="Z27" s="4"/>
    </row>
    <row r="28" spans="1:26" ht="18.75" x14ac:dyDescent="0.3">
      <c r="B28" s="3"/>
      <c r="D28" s="24"/>
      <c r="E28" s="23"/>
      <c r="F28" s="23"/>
      <c r="I28" s="6"/>
      <c r="J28" s="2"/>
      <c r="N28" s="6"/>
      <c r="O28" s="2"/>
      <c r="P28" s="2"/>
      <c r="S28" s="6"/>
      <c r="U28" s="2"/>
      <c r="V28" s="2"/>
      <c r="W28" s="20">
        <v>400</v>
      </c>
      <c r="X28" s="29">
        <f>W28*Y28</f>
        <v>85.018726591760299</v>
      </c>
      <c r="Y28" s="25">
        <f>Y27/$Y$58</f>
        <v>0.21254681647940074</v>
      </c>
      <c r="Z28" s="9"/>
    </row>
    <row r="29" spans="1:26" ht="18.75" x14ac:dyDescent="0.3">
      <c r="B29" s="3"/>
      <c r="I29" s="6"/>
      <c r="J29" s="2"/>
      <c r="N29" s="6"/>
      <c r="O29" s="2"/>
      <c r="P29" s="2"/>
      <c r="S29" s="6"/>
      <c r="U29" s="2"/>
      <c r="V29" s="2"/>
      <c r="W29" s="20"/>
      <c r="X29" s="9"/>
      <c r="Y29" s="9"/>
      <c r="Z29" s="9"/>
    </row>
    <row r="30" spans="1:26" x14ac:dyDescent="0.25">
      <c r="B30" s="3">
        <v>11.5</v>
      </c>
      <c r="C30">
        <f t="shared" ref="C30:C33" si="11">B30*12</f>
        <v>138</v>
      </c>
      <c r="D30" s="7">
        <v>11.77</v>
      </c>
      <c r="E30">
        <v>0.73</v>
      </c>
      <c r="I30" s="6"/>
      <c r="J30" s="2">
        <f t="shared" ref="J30:J39" si="12">E30*$A$4</f>
        <v>120.45</v>
      </c>
      <c r="N30" s="6"/>
      <c r="O30" s="2"/>
      <c r="P30" s="2"/>
      <c r="S30" s="6"/>
      <c r="U30" s="2"/>
      <c r="V30" s="2"/>
      <c r="W30" s="2">
        <f>E30*$A$5</f>
        <v>598.6</v>
      </c>
      <c r="X30" s="9"/>
      <c r="Y30" s="9"/>
      <c r="Z30" s="9"/>
    </row>
    <row r="31" spans="1:26" x14ac:dyDescent="0.25">
      <c r="B31" s="3">
        <v>12</v>
      </c>
      <c r="C31">
        <f t="shared" si="11"/>
        <v>144</v>
      </c>
      <c r="D31" s="7">
        <v>11.77</v>
      </c>
      <c r="E31">
        <v>0.76100000000000001</v>
      </c>
      <c r="I31" s="6"/>
      <c r="J31" s="2">
        <f t="shared" si="12"/>
        <v>125.565</v>
      </c>
      <c r="N31" s="6"/>
      <c r="O31" s="2"/>
      <c r="P31" s="2"/>
      <c r="S31" s="6"/>
      <c r="U31" s="2"/>
      <c r="V31" s="2"/>
      <c r="W31" s="2">
        <f t="shared" ref="W31:W39" si="13">E31*$A$5</f>
        <v>624.02</v>
      </c>
      <c r="X31" s="9"/>
      <c r="Y31" s="9"/>
      <c r="Z31" s="9"/>
    </row>
    <row r="32" spans="1:26" x14ac:dyDescent="0.25">
      <c r="B32" s="3">
        <v>13</v>
      </c>
      <c r="C32">
        <f t="shared" si="11"/>
        <v>156</v>
      </c>
      <c r="D32" s="7">
        <v>11.77</v>
      </c>
      <c r="E32">
        <v>0.82499999999999996</v>
      </c>
      <c r="I32" s="6"/>
      <c r="J32" s="2">
        <f t="shared" si="12"/>
        <v>136.125</v>
      </c>
      <c r="N32" s="6"/>
      <c r="O32" s="2"/>
      <c r="P32" s="2"/>
      <c r="S32" s="6"/>
      <c r="U32" s="2"/>
      <c r="V32" s="2"/>
      <c r="W32" s="2">
        <f t="shared" si="13"/>
        <v>676.5</v>
      </c>
      <c r="X32" s="9"/>
      <c r="Y32" s="9"/>
      <c r="Z32" s="9"/>
    </row>
    <row r="33" spans="1:26" x14ac:dyDescent="0.25">
      <c r="B33" s="3">
        <v>14</v>
      </c>
      <c r="C33">
        <f t="shared" si="11"/>
        <v>168</v>
      </c>
      <c r="D33" s="7">
        <v>11.77</v>
      </c>
      <c r="E33">
        <v>0.88</v>
      </c>
      <c r="I33" s="6"/>
      <c r="J33" s="2">
        <f t="shared" si="12"/>
        <v>145.19999999999999</v>
      </c>
      <c r="N33" s="6"/>
      <c r="O33" s="2"/>
      <c r="P33" s="2"/>
      <c r="S33" s="6"/>
      <c r="U33" s="2"/>
      <c r="V33" s="2"/>
      <c r="W33" s="2">
        <f t="shared" si="13"/>
        <v>721.6</v>
      </c>
      <c r="X33" s="9"/>
      <c r="Y33" s="9"/>
      <c r="Z33" s="9"/>
    </row>
    <row r="34" spans="1:26" x14ac:dyDescent="0.25">
      <c r="B34" s="3">
        <v>15</v>
      </c>
      <c r="C34">
        <f t="shared" ref="C34:C39" si="14">B34*12</f>
        <v>180</v>
      </c>
      <c r="D34" s="7">
        <v>11.77</v>
      </c>
      <c r="E34">
        <v>0.95199999999999996</v>
      </c>
      <c r="J34" s="2">
        <f t="shared" si="12"/>
        <v>157.07999999999998</v>
      </c>
      <c r="L34">
        <v>0.42399999999999999</v>
      </c>
      <c r="M34">
        <v>0.36431000000000002</v>
      </c>
      <c r="N34" s="6">
        <f>L34-M34</f>
        <v>5.9689999999999965E-2</v>
      </c>
      <c r="O34" s="2">
        <v>347.44</v>
      </c>
      <c r="P34" s="2"/>
      <c r="Q34">
        <v>0.36431000000000002</v>
      </c>
      <c r="R34">
        <v>0.63200000000000001</v>
      </c>
      <c r="S34" s="6">
        <f t="shared" si="10"/>
        <v>0.26768999999999998</v>
      </c>
      <c r="T34">
        <v>11.5</v>
      </c>
      <c r="U34" s="2">
        <v>518.64</v>
      </c>
      <c r="V34" s="2"/>
      <c r="W34" s="2">
        <f t="shared" si="13"/>
        <v>780.64</v>
      </c>
      <c r="X34" s="9"/>
      <c r="Y34" s="9"/>
      <c r="Z34" s="9"/>
    </row>
    <row r="35" spans="1:26" x14ac:dyDescent="0.25">
      <c r="B35" s="3">
        <v>16</v>
      </c>
      <c r="C35">
        <f t="shared" si="14"/>
        <v>192</v>
      </c>
      <c r="D35" s="7">
        <v>11.77</v>
      </c>
      <c r="E35">
        <v>1.0149999999999999</v>
      </c>
      <c r="I35" s="6"/>
      <c r="J35" s="2">
        <f t="shared" si="12"/>
        <v>167.47499999999999</v>
      </c>
      <c r="N35" s="6"/>
      <c r="O35" s="2"/>
      <c r="P35" s="2"/>
      <c r="S35" s="6"/>
      <c r="U35" s="2"/>
      <c r="V35" s="2"/>
      <c r="W35" s="2">
        <f t="shared" si="13"/>
        <v>832.3</v>
      </c>
      <c r="X35" s="9"/>
      <c r="Y35" s="9"/>
      <c r="Z35" s="9"/>
    </row>
    <row r="36" spans="1:26" x14ac:dyDescent="0.25">
      <c r="B36" s="3">
        <v>17</v>
      </c>
      <c r="C36">
        <f t="shared" si="14"/>
        <v>204</v>
      </c>
      <c r="D36" s="7">
        <v>11.77</v>
      </c>
      <c r="E36">
        <v>1.079</v>
      </c>
      <c r="I36" s="6"/>
      <c r="J36" s="2">
        <f t="shared" si="12"/>
        <v>178.035</v>
      </c>
      <c r="N36" s="6"/>
      <c r="O36" s="2"/>
      <c r="P36" s="2"/>
      <c r="S36" s="6"/>
      <c r="U36" s="2"/>
      <c r="V36" s="2"/>
      <c r="W36" s="2">
        <f t="shared" si="13"/>
        <v>884.78</v>
      </c>
      <c r="X36" s="9"/>
      <c r="Y36" s="9"/>
      <c r="Z36" s="9"/>
    </row>
    <row r="37" spans="1:26" x14ac:dyDescent="0.25">
      <c r="B37" s="3">
        <v>18</v>
      </c>
      <c r="C37">
        <f t="shared" si="14"/>
        <v>216</v>
      </c>
      <c r="D37" s="7">
        <v>11.77</v>
      </c>
      <c r="E37">
        <v>1.1140000000000001</v>
      </c>
      <c r="I37" s="6"/>
      <c r="J37" s="2">
        <f t="shared" si="12"/>
        <v>183.81000000000003</v>
      </c>
      <c r="N37" s="6"/>
      <c r="O37" s="2"/>
      <c r="P37" s="2"/>
      <c r="S37" s="6"/>
      <c r="U37" s="2"/>
      <c r="V37" s="2"/>
      <c r="W37" s="2">
        <f t="shared" si="13"/>
        <v>913.48000000000013</v>
      </c>
      <c r="X37" s="9"/>
      <c r="Y37" s="9"/>
      <c r="Z37" s="9"/>
    </row>
    <row r="38" spans="1:26" x14ac:dyDescent="0.25">
      <c r="B38" s="3">
        <v>19</v>
      </c>
      <c r="C38">
        <f t="shared" si="14"/>
        <v>228</v>
      </c>
      <c r="D38" s="7">
        <v>11.77</v>
      </c>
      <c r="E38">
        <v>1.2050000000000001</v>
      </c>
      <c r="I38" s="6"/>
      <c r="J38" s="2">
        <f t="shared" si="12"/>
        <v>198.82500000000002</v>
      </c>
      <c r="N38" s="6"/>
      <c r="O38" s="2"/>
      <c r="P38" s="2"/>
      <c r="S38" s="6"/>
      <c r="U38" s="2"/>
      <c r="V38" s="2"/>
      <c r="W38" s="2">
        <f t="shared" si="13"/>
        <v>988.1</v>
      </c>
      <c r="X38" s="9"/>
      <c r="Y38" s="9"/>
      <c r="Z38" s="9"/>
    </row>
    <row r="39" spans="1:26" x14ac:dyDescent="0.25">
      <c r="B39" s="3">
        <v>19.989999999999998</v>
      </c>
      <c r="C39">
        <f t="shared" si="14"/>
        <v>239.88</v>
      </c>
      <c r="D39" s="7">
        <v>11.77</v>
      </c>
      <c r="E39">
        <v>1.268</v>
      </c>
      <c r="J39" s="2">
        <f t="shared" si="12"/>
        <v>209.22</v>
      </c>
      <c r="L39">
        <v>621</v>
      </c>
      <c r="O39" s="2">
        <v>102.54</v>
      </c>
      <c r="R39">
        <v>0.621</v>
      </c>
      <c r="T39" s="7">
        <v>10.7</v>
      </c>
      <c r="U39" s="2">
        <v>509.58</v>
      </c>
      <c r="W39" s="2">
        <f t="shared" si="13"/>
        <v>1039.76</v>
      </c>
      <c r="X39" s="9"/>
      <c r="Y39" s="9"/>
      <c r="Z39" s="9"/>
    </row>
    <row r="40" spans="1:26" x14ac:dyDescent="0.25">
      <c r="A40" s="13" t="s">
        <v>20</v>
      </c>
      <c r="B40" s="14"/>
      <c r="C40" s="13"/>
      <c r="D40" s="13"/>
      <c r="E40" s="15">
        <f>AVERAGE(E30:E39)</f>
        <v>0.98290000000000011</v>
      </c>
      <c r="F40" s="15"/>
      <c r="G40" s="21">
        <v>0.27679999999999999</v>
      </c>
      <c r="H40" s="21"/>
      <c r="I40" s="16">
        <f>E34-G40</f>
        <v>0.67520000000000002</v>
      </c>
      <c r="J40" s="17">
        <f>AVERAGE(J30:J39)</f>
        <v>162.17849999999999</v>
      </c>
      <c r="K40" s="13"/>
      <c r="L40" s="15"/>
      <c r="M40" s="13"/>
      <c r="N40" s="16"/>
      <c r="O40" s="19"/>
      <c r="P40" s="19"/>
      <c r="Q40" s="13"/>
      <c r="R40" s="13"/>
      <c r="S40" s="16"/>
      <c r="T40" s="13"/>
      <c r="U40" s="19"/>
      <c r="V40" s="19"/>
      <c r="W40" s="17">
        <f>AVERAGE(W30:W39)</f>
        <v>805.97800000000007</v>
      </c>
      <c r="X40" s="18" t="s">
        <v>37</v>
      </c>
      <c r="Y40" s="4">
        <v>234</v>
      </c>
      <c r="Z40" s="4"/>
    </row>
    <row r="41" spans="1:26" ht="18.75" x14ac:dyDescent="0.3">
      <c r="B41" s="3"/>
      <c r="D41" s="24"/>
      <c r="E41" s="23"/>
      <c r="F41" s="23"/>
      <c r="J41" s="2"/>
      <c r="O41" s="2"/>
      <c r="T41" s="7"/>
      <c r="U41" s="2"/>
      <c r="W41" s="20">
        <v>800</v>
      </c>
      <c r="X41" s="29">
        <f>W41*Y41</f>
        <v>175.28089887640451</v>
      </c>
      <c r="Y41" s="25">
        <f>Y40/$Y$58</f>
        <v>0.21910112359550563</v>
      </c>
      <c r="Z41" s="9"/>
    </row>
    <row r="42" spans="1:26" x14ac:dyDescent="0.25">
      <c r="B42" s="3"/>
      <c r="D42" s="7"/>
      <c r="J42" s="2"/>
      <c r="O42" s="2"/>
      <c r="T42" s="7"/>
      <c r="U42" s="2"/>
      <c r="W42" s="2"/>
      <c r="X42" s="30">
        <f>X41+X28+X12</f>
        <v>361.23595505617976</v>
      </c>
      <c r="Y42" s="9"/>
      <c r="Z42" s="9"/>
    </row>
    <row r="43" spans="1:26" x14ac:dyDescent="0.25">
      <c r="B43" s="3">
        <v>20.100000000000001</v>
      </c>
      <c r="C43">
        <f t="shared" ref="C43:C46" si="15">B43*12</f>
        <v>241.20000000000002</v>
      </c>
      <c r="D43" s="7">
        <v>10.7</v>
      </c>
      <c r="E43">
        <v>1.403</v>
      </c>
      <c r="J43" s="2">
        <f>E43*$A$4</f>
        <v>231.495</v>
      </c>
      <c r="O43" s="2"/>
      <c r="T43" s="7"/>
      <c r="U43" s="2"/>
      <c r="W43" s="2">
        <f>E43*$A$5</f>
        <v>1150.46</v>
      </c>
      <c r="X43" s="9"/>
      <c r="Y43" s="9"/>
      <c r="Z43" s="9"/>
    </row>
    <row r="44" spans="1:26" x14ac:dyDescent="0.25">
      <c r="B44" s="3">
        <v>30</v>
      </c>
      <c r="C44">
        <f t="shared" si="15"/>
        <v>360</v>
      </c>
      <c r="D44" s="7">
        <v>10.7</v>
      </c>
      <c r="E44">
        <v>2.0939999999999999</v>
      </c>
      <c r="J44" s="2">
        <f>E44*$A$4</f>
        <v>345.51</v>
      </c>
      <c r="O44" s="2"/>
      <c r="T44" s="7"/>
      <c r="U44" s="2"/>
      <c r="W44" s="2">
        <f t="shared" ref="W44:W48" si="16">E44*$A$5</f>
        <v>1717.08</v>
      </c>
      <c r="X44" s="9"/>
      <c r="Y44" s="9"/>
      <c r="Z44" s="9"/>
    </row>
    <row r="45" spans="1:26" x14ac:dyDescent="0.25">
      <c r="B45" s="3"/>
      <c r="D45" s="7"/>
      <c r="J45" s="2"/>
      <c r="O45" s="2"/>
      <c r="T45" s="7"/>
      <c r="U45" s="2"/>
      <c r="W45" s="2"/>
      <c r="X45" s="9"/>
      <c r="Y45" s="9"/>
      <c r="Z45" s="9"/>
    </row>
    <row r="46" spans="1:26" x14ac:dyDescent="0.25">
      <c r="B46" s="3">
        <v>40</v>
      </c>
      <c r="C46">
        <f t="shared" si="15"/>
        <v>480</v>
      </c>
      <c r="D46" s="7">
        <v>10.7</v>
      </c>
      <c r="E46">
        <v>2.7919999999999998</v>
      </c>
      <c r="J46" s="2">
        <f>E46*$A$4</f>
        <v>460.67999999999995</v>
      </c>
      <c r="O46" s="2"/>
      <c r="T46" s="7"/>
      <c r="U46" s="2"/>
      <c r="W46" s="2">
        <f t="shared" si="16"/>
        <v>2289.44</v>
      </c>
      <c r="X46" s="9"/>
      <c r="Y46" s="9"/>
      <c r="Z46" s="9"/>
    </row>
    <row r="47" spans="1:26" x14ac:dyDescent="0.25">
      <c r="B47" s="3">
        <v>45</v>
      </c>
      <c r="C47">
        <f>B47*12</f>
        <v>540</v>
      </c>
      <c r="D47" s="7">
        <v>10.7</v>
      </c>
      <c r="E47">
        <v>3.141</v>
      </c>
      <c r="J47" s="2">
        <f>E47*$A$4</f>
        <v>518.26499999999999</v>
      </c>
      <c r="L47">
        <v>1.3979999999999999</v>
      </c>
      <c r="O47" s="2">
        <v>230.71</v>
      </c>
      <c r="R47">
        <v>1.3979999999999999</v>
      </c>
      <c r="T47" s="7">
        <v>10.7</v>
      </c>
      <c r="U47" s="2">
        <v>1146.55</v>
      </c>
      <c r="W47" s="2">
        <f t="shared" si="16"/>
        <v>2575.62</v>
      </c>
      <c r="Y47" s="9"/>
      <c r="Z47" s="9"/>
    </row>
    <row r="48" spans="1:26" x14ac:dyDescent="0.25">
      <c r="B48" s="3">
        <v>64</v>
      </c>
      <c r="C48">
        <f>B48*12</f>
        <v>768</v>
      </c>
      <c r="D48" s="7">
        <v>10.379</v>
      </c>
      <c r="E48">
        <v>4.6050000000000004</v>
      </c>
      <c r="J48" s="2">
        <f>E48*$A$4</f>
        <v>759.82500000000005</v>
      </c>
      <c r="O48" s="2"/>
      <c r="T48" s="7"/>
      <c r="U48" s="2"/>
      <c r="W48" s="2">
        <f t="shared" si="16"/>
        <v>3776.1000000000004</v>
      </c>
      <c r="X48" s="9"/>
      <c r="Y48" s="9"/>
      <c r="Z48" s="9"/>
    </row>
    <row r="49" spans="1:26" x14ac:dyDescent="0.25">
      <c r="A49" s="13" t="s">
        <v>20</v>
      </c>
      <c r="B49" s="14"/>
      <c r="C49" s="13"/>
      <c r="D49" s="13"/>
      <c r="E49" s="15">
        <f>AVERAGE(E43:E48)</f>
        <v>2.8069999999999999</v>
      </c>
      <c r="F49" s="15"/>
      <c r="G49" s="13"/>
      <c r="H49" s="13"/>
      <c r="I49" s="16"/>
      <c r="J49" s="17">
        <f>AVERAGE(J43:V48)</f>
        <v>370.65309999999999</v>
      </c>
      <c r="K49" s="13"/>
      <c r="L49" s="15"/>
      <c r="M49" s="13"/>
      <c r="N49" s="16"/>
      <c r="O49" s="19"/>
      <c r="P49" s="19"/>
      <c r="Q49" s="13"/>
      <c r="R49" s="13"/>
      <c r="S49" s="16"/>
      <c r="T49" s="13"/>
      <c r="U49" s="19"/>
      <c r="V49" s="19"/>
      <c r="W49" s="17">
        <f>AVERAGE(W43:W48)</f>
        <v>2301.7400000000002</v>
      </c>
      <c r="X49" s="11" t="s">
        <v>38</v>
      </c>
      <c r="Y49" s="4">
        <v>59</v>
      </c>
      <c r="Z49" s="4"/>
    </row>
    <row r="50" spans="1:26" ht="18.75" x14ac:dyDescent="0.3">
      <c r="B50" s="3"/>
      <c r="D50" s="24"/>
      <c r="E50" s="23"/>
      <c r="F50" s="23"/>
      <c r="J50" s="2"/>
      <c r="O50" s="2"/>
      <c r="T50" s="7"/>
      <c r="U50" s="2"/>
      <c r="W50" s="20"/>
      <c r="X50" s="27">
        <f>W50*Y50</f>
        <v>0</v>
      </c>
      <c r="Y50" s="25">
        <f>Y49/$Y$58</f>
        <v>5.5243445692883898E-2</v>
      </c>
      <c r="Z50" s="9"/>
    </row>
    <row r="51" spans="1:26" x14ac:dyDescent="0.25">
      <c r="B51" s="3"/>
      <c r="D51" s="7"/>
      <c r="J51" s="2"/>
      <c r="O51" s="2"/>
      <c r="T51" s="7"/>
      <c r="U51" s="2"/>
      <c r="W51" s="2"/>
      <c r="X51" s="9"/>
      <c r="Y51" s="9"/>
      <c r="Z51" s="9"/>
    </row>
    <row r="52" spans="1:26" x14ac:dyDescent="0.25">
      <c r="B52" s="3">
        <v>65</v>
      </c>
      <c r="C52">
        <f>B52*12</f>
        <v>780</v>
      </c>
      <c r="D52" s="7">
        <v>10.379</v>
      </c>
      <c r="E52">
        <v>4.6769999999999996</v>
      </c>
      <c r="J52" s="2">
        <f>E52*$A$4</f>
        <v>771.70499999999993</v>
      </c>
      <c r="L52">
        <v>2.0819999999999999</v>
      </c>
      <c r="O52" s="2">
        <v>343.55</v>
      </c>
      <c r="R52">
        <v>20.82</v>
      </c>
      <c r="T52" s="7">
        <v>9.9909999999999997</v>
      </c>
      <c r="U52" s="2">
        <v>1707.35</v>
      </c>
      <c r="W52" s="2">
        <f t="shared" ref="W52" si="17">E52*$A$5</f>
        <v>3835.14</v>
      </c>
      <c r="Y52" s="9"/>
      <c r="Z52" s="9"/>
    </row>
    <row r="53" spans="1:26" x14ac:dyDescent="0.25">
      <c r="B53" s="3">
        <v>75</v>
      </c>
      <c r="C53">
        <f>B53*12</f>
        <v>900</v>
      </c>
      <c r="D53" s="7">
        <v>10.379</v>
      </c>
      <c r="E53">
        <v>5.3959999999999999</v>
      </c>
      <c r="J53" s="2">
        <f>E53*$A$4</f>
        <v>890.34</v>
      </c>
      <c r="L53">
        <v>2.0819999999999999</v>
      </c>
      <c r="O53" s="2">
        <v>343.55</v>
      </c>
      <c r="R53">
        <v>20.82</v>
      </c>
      <c r="T53" s="7">
        <v>9.9909999999999997</v>
      </c>
      <c r="U53" s="2">
        <v>1707.35</v>
      </c>
      <c r="W53" s="2">
        <f t="shared" ref="W53:W54" si="18">E53*$A$5</f>
        <v>4424.72</v>
      </c>
      <c r="Y53" s="9"/>
      <c r="Z53" s="9"/>
    </row>
    <row r="54" spans="1:26" x14ac:dyDescent="0.25">
      <c r="B54" s="3">
        <v>85</v>
      </c>
      <c r="C54">
        <f>B54*12</f>
        <v>1020</v>
      </c>
      <c r="D54" s="7">
        <v>10.379</v>
      </c>
      <c r="E54">
        <v>6.1159999999999997</v>
      </c>
      <c r="J54" s="2">
        <f t="shared" ref="J54" si="19">E54*$A$4</f>
        <v>1009.14</v>
      </c>
      <c r="L54">
        <v>2.0819999999999999</v>
      </c>
      <c r="O54" s="2">
        <v>343.55</v>
      </c>
      <c r="R54">
        <v>20.82</v>
      </c>
      <c r="T54" s="7">
        <v>9.9909999999999997</v>
      </c>
      <c r="U54" s="2">
        <v>1707.35</v>
      </c>
      <c r="W54" s="2">
        <f t="shared" si="18"/>
        <v>5015.12</v>
      </c>
      <c r="Y54" s="9"/>
      <c r="Z54" s="9"/>
    </row>
    <row r="55" spans="1:26" x14ac:dyDescent="0.25">
      <c r="A55" s="13" t="s">
        <v>20</v>
      </c>
      <c r="B55" s="14"/>
      <c r="C55" s="13"/>
      <c r="D55" s="13"/>
      <c r="E55" s="15">
        <f>AVERAGE(E52:E54)</f>
        <v>5.3963333333333336</v>
      </c>
      <c r="F55" s="15"/>
      <c r="G55" s="13"/>
      <c r="H55" s="13"/>
      <c r="I55" s="16"/>
      <c r="J55" s="17">
        <f>AVERAGE(J52:J54)</f>
        <v>890.39499999999998</v>
      </c>
      <c r="K55" s="13"/>
      <c r="L55" s="15"/>
      <c r="M55" s="13"/>
      <c r="N55" s="16"/>
      <c r="O55" s="19"/>
      <c r="P55" s="19"/>
      <c r="Q55" s="13"/>
      <c r="R55" s="13"/>
      <c r="S55" s="16"/>
      <c r="T55" s="13"/>
      <c r="U55" s="19"/>
      <c r="V55" s="19"/>
      <c r="W55" s="17">
        <f>AVERAGE(W52:W54)</f>
        <v>4424.9933333333329</v>
      </c>
      <c r="X55" s="11" t="s">
        <v>39</v>
      </c>
      <c r="Y55" s="4">
        <v>9</v>
      </c>
    </row>
    <row r="56" spans="1:26" ht="18.75" x14ac:dyDescent="0.3">
      <c r="D56" s="24" t="s">
        <v>28</v>
      </c>
      <c r="E56" s="23">
        <f>E55*Y55</f>
        <v>48.567</v>
      </c>
      <c r="F56" s="23"/>
      <c r="W56" s="20"/>
      <c r="X56" s="28">
        <f>W56*Y56</f>
        <v>0</v>
      </c>
      <c r="Y56" s="25">
        <f>Y55/$Y$58</f>
        <v>8.4269662921348312E-3</v>
      </c>
      <c r="Z56" s="2"/>
    </row>
    <row r="57" spans="1:26" ht="18.75" x14ac:dyDescent="0.3">
      <c r="D57" s="24"/>
      <c r="E57" s="23"/>
      <c r="F57" s="23"/>
      <c r="W57" s="20"/>
      <c r="X57" s="2"/>
      <c r="Y57" s="25"/>
      <c r="Z57" s="2"/>
    </row>
    <row r="58" spans="1:26" x14ac:dyDescent="0.25">
      <c r="W58" s="2"/>
      <c r="X58" s="22" t="s">
        <v>40</v>
      </c>
      <c r="Y58" s="4">
        <f>Y11+Y27+Y40+Y49+Y55</f>
        <v>1068</v>
      </c>
    </row>
    <row r="59" spans="1:26" x14ac:dyDescent="0.25">
      <c r="B59" s="1"/>
      <c r="D59" s="26" t="s">
        <v>41</v>
      </c>
      <c r="E59" s="26">
        <f>E12+E28+E41+E50+E56</f>
        <v>48.567</v>
      </c>
      <c r="F59" s="26"/>
      <c r="X59" s="22" t="s">
        <v>42</v>
      </c>
      <c r="Y59" s="4">
        <v>1550.4390000000001</v>
      </c>
    </row>
  </sheetData>
  <mergeCells count="3">
    <mergeCell ref="B1:J1"/>
    <mergeCell ref="L1:O1"/>
    <mergeCell ref="Q1:U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88D42-C5B2-4184-B174-260BF74C8D7C}">
  <dimension ref="B1:AJ118"/>
  <sheetViews>
    <sheetView tabSelected="1" topLeftCell="A22" zoomScale="115" zoomScaleNormal="115" workbookViewId="0">
      <selection activeCell="C123" sqref="C123"/>
    </sheetView>
  </sheetViews>
  <sheetFormatPr defaultRowHeight="15" x14ac:dyDescent="0.25"/>
  <cols>
    <col min="1" max="1" width="6.28515625" customWidth="1"/>
    <col min="2" max="2" width="64.140625" customWidth="1"/>
    <col min="3" max="3" width="32.7109375" customWidth="1"/>
    <col min="4" max="4" width="17.28515625" hidden="1" customWidth="1"/>
    <col min="5" max="5" width="13.85546875" hidden="1" customWidth="1"/>
    <col min="6" max="7" width="13.28515625" hidden="1" customWidth="1"/>
    <col min="8" max="8" width="12.85546875" customWidth="1"/>
    <col min="9" max="9" width="18.42578125" customWidth="1"/>
    <col min="10" max="10" width="16.28515625" customWidth="1"/>
    <col min="11" max="11" width="44.28515625" customWidth="1"/>
    <col min="12" max="12" width="42.28515625" bestFit="1" customWidth="1"/>
    <col min="13" max="13" width="64" customWidth="1"/>
    <col min="14" max="14" width="51.140625" hidden="1" customWidth="1"/>
    <col min="15" max="15" width="26.28515625" hidden="1" customWidth="1"/>
    <col min="16" max="16" width="9.140625" hidden="1" customWidth="1"/>
    <col min="17" max="17" width="51" hidden="1" customWidth="1"/>
    <col min="18" max="18" width="15.5703125" hidden="1" customWidth="1"/>
    <col min="19" max="19" width="22.85546875" hidden="1" customWidth="1"/>
    <col min="20" max="20" width="14.42578125" hidden="1" customWidth="1"/>
    <col min="21" max="22" width="9.140625" hidden="1" customWidth="1"/>
    <col min="23" max="23" width="12.42578125" hidden="1" customWidth="1"/>
    <col min="24" max="31" width="0" hidden="1" customWidth="1"/>
  </cols>
  <sheetData>
    <row r="1" spans="2:13" ht="14.25" hidden="1" customHeight="1" x14ac:dyDescent="0.25">
      <c r="B1" s="42"/>
      <c r="C1" s="43"/>
      <c r="D1" s="44"/>
      <c r="E1" s="44"/>
      <c r="F1" s="44"/>
      <c r="G1" s="44"/>
      <c r="H1" s="44"/>
      <c r="I1" s="45" t="s">
        <v>43</v>
      </c>
      <c r="J1" s="45" t="s">
        <v>44</v>
      </c>
      <c r="L1" s="44"/>
    </row>
    <row r="2" spans="2:13" ht="16.5" hidden="1" thickBot="1" x14ac:dyDescent="0.3">
      <c r="B2" s="42"/>
      <c r="C2" s="43"/>
      <c r="D2" s="44"/>
      <c r="E2" s="44"/>
      <c r="F2" s="44"/>
      <c r="G2" s="46" t="s">
        <v>45</v>
      </c>
      <c r="I2" s="47">
        <f>12*5*52</f>
        <v>3120</v>
      </c>
      <c r="J2" s="48">
        <v>3120</v>
      </c>
    </row>
    <row r="3" spans="2:13" ht="15.75" hidden="1" x14ac:dyDescent="0.25">
      <c r="B3" s="49" t="s">
        <v>46</v>
      </c>
      <c r="C3" s="50" t="s">
        <v>47</v>
      </c>
      <c r="D3" s="50" t="s">
        <v>43</v>
      </c>
      <c r="E3" s="50" t="s">
        <v>44</v>
      </c>
      <c r="F3" s="50" t="s">
        <v>48</v>
      </c>
      <c r="G3" s="50" t="s">
        <v>49</v>
      </c>
      <c r="H3" s="50" t="s">
        <v>43</v>
      </c>
      <c r="I3" s="50" t="s">
        <v>44</v>
      </c>
      <c r="J3" s="51" t="s">
        <v>50</v>
      </c>
      <c r="M3" s="149" t="s">
        <v>51</v>
      </c>
    </row>
    <row r="4" spans="2:13" ht="15.75" hidden="1" x14ac:dyDescent="0.25">
      <c r="B4" s="52" t="s">
        <v>52</v>
      </c>
      <c r="C4" s="53" t="s">
        <v>53</v>
      </c>
      <c r="D4" s="53" t="s">
        <v>54</v>
      </c>
      <c r="E4" s="53" t="s">
        <v>55</v>
      </c>
      <c r="F4" s="53" t="s">
        <v>56</v>
      </c>
      <c r="G4" s="53" t="s">
        <v>57</v>
      </c>
      <c r="H4" s="53" t="s">
        <v>54</v>
      </c>
      <c r="I4" s="53" t="s">
        <v>55</v>
      </c>
      <c r="J4" s="54" t="s">
        <v>58</v>
      </c>
      <c r="M4" t="s">
        <v>59</v>
      </c>
    </row>
    <row r="5" spans="2:13" ht="15.75" hidden="1" x14ac:dyDescent="0.25">
      <c r="B5" s="55" t="s">
        <v>60</v>
      </c>
      <c r="C5" s="56" t="s">
        <v>61</v>
      </c>
      <c r="D5" s="56" t="s">
        <v>48</v>
      </c>
      <c r="E5" s="56" t="s">
        <v>48</v>
      </c>
      <c r="F5" s="56" t="s">
        <v>62</v>
      </c>
      <c r="G5" s="56" t="s">
        <v>52</v>
      </c>
      <c r="H5" s="56" t="s">
        <v>32</v>
      </c>
      <c r="I5" s="56" t="s">
        <v>32</v>
      </c>
      <c r="J5" s="57" t="s">
        <v>32</v>
      </c>
      <c r="M5" t="s">
        <v>63</v>
      </c>
    </row>
    <row r="6" spans="2:13" ht="15.75" hidden="1" x14ac:dyDescent="0.25">
      <c r="B6" s="58">
        <v>0.4</v>
      </c>
      <c r="C6" s="59">
        <f>B6</f>
        <v>0.4</v>
      </c>
      <c r="F6" s="60"/>
      <c r="G6" s="61">
        <v>0</v>
      </c>
      <c r="H6" s="148">
        <f t="shared" ref="H6:H18" si="0">D6*G6*$I$2</f>
        <v>0</v>
      </c>
      <c r="I6" s="62">
        <f>C29*G6*$J$2</f>
        <v>0</v>
      </c>
      <c r="J6" s="63">
        <f>H6-I6</f>
        <v>0</v>
      </c>
    </row>
    <row r="7" spans="2:13" ht="15.75" hidden="1" x14ac:dyDescent="0.25">
      <c r="B7" s="58">
        <v>0.45</v>
      </c>
      <c r="C7" s="59">
        <f>B7</f>
        <v>0.45</v>
      </c>
      <c r="D7" s="64">
        <f t="shared" ref="D7:D18" si="1">IF(Method=1,Pump_Power_kW,IF(Method=2,(H$54*C7^2+J$54*C7+K$54)*Pump_Power_kW))</f>
        <v>29.356964999999995</v>
      </c>
      <c r="E7" s="64">
        <f t="shared" ref="E7:E18" si="2">C7^Power_speed_reduction*Pump_Power_kW/(1-VFD_eff_pen)</f>
        <v>4.1112198847419972</v>
      </c>
      <c r="F7" s="65">
        <f t="shared" ref="F7:F18" si="3">D7-E7</f>
        <v>25.245745115257996</v>
      </c>
      <c r="G7" s="61">
        <v>0</v>
      </c>
      <c r="H7" s="66">
        <f t="shared" si="0"/>
        <v>0</v>
      </c>
      <c r="I7" s="66">
        <f t="shared" ref="I7:I18" si="4">E7*G7*$J$2</f>
        <v>0</v>
      </c>
      <c r="J7" s="67">
        <f t="shared" ref="J7:J18" si="5">H7-I7</f>
        <v>0</v>
      </c>
    </row>
    <row r="8" spans="2:13" ht="15.75" hidden="1" x14ac:dyDescent="0.25">
      <c r="B8" s="58">
        <v>0.5</v>
      </c>
      <c r="C8" s="59">
        <f t="shared" ref="C8:C18" si="6">B8</f>
        <v>0.5</v>
      </c>
      <c r="D8" s="68">
        <f t="shared" si="1"/>
        <v>29.356964999999995</v>
      </c>
      <c r="E8" s="68">
        <f t="shared" si="2"/>
        <v>5.350131192411375</v>
      </c>
      <c r="F8" s="60">
        <f t="shared" si="3"/>
        <v>24.00683380758862</v>
      </c>
      <c r="G8" s="61">
        <v>0</v>
      </c>
      <c r="H8" s="62">
        <f t="shared" si="0"/>
        <v>0</v>
      </c>
      <c r="I8" s="62">
        <f>E8*G8*$J$2</f>
        <v>0</v>
      </c>
      <c r="J8" s="63">
        <f t="shared" si="5"/>
        <v>0</v>
      </c>
    </row>
    <row r="9" spans="2:13" ht="15.75" hidden="1" x14ac:dyDescent="0.25">
      <c r="B9" s="58">
        <v>0.55000000000000004</v>
      </c>
      <c r="C9" s="59">
        <f t="shared" si="6"/>
        <v>0.55000000000000004</v>
      </c>
      <c r="D9" s="64">
        <f t="shared" si="1"/>
        <v>29.356964999999995</v>
      </c>
      <c r="E9" s="64">
        <f t="shared" si="2"/>
        <v>6.7896305695013295</v>
      </c>
      <c r="F9" s="65">
        <f t="shared" si="3"/>
        <v>22.567334430498665</v>
      </c>
      <c r="G9" s="61">
        <v>0</v>
      </c>
      <c r="H9" s="66">
        <f t="shared" si="0"/>
        <v>0</v>
      </c>
      <c r="I9" s="66">
        <f t="shared" si="4"/>
        <v>0</v>
      </c>
      <c r="J9" s="67">
        <f t="shared" si="5"/>
        <v>0</v>
      </c>
    </row>
    <row r="10" spans="2:13" ht="15.75" hidden="1" x14ac:dyDescent="0.25">
      <c r="B10" s="58">
        <v>0.6</v>
      </c>
      <c r="C10" s="59">
        <f t="shared" si="6"/>
        <v>0.6</v>
      </c>
      <c r="D10" s="68">
        <f t="shared" si="1"/>
        <v>29.356964999999995</v>
      </c>
      <c r="E10" s="68">
        <f t="shared" si="2"/>
        <v>8.4395161143236805</v>
      </c>
      <c r="F10" s="60">
        <f t="shared" si="3"/>
        <v>20.917448885676315</v>
      </c>
      <c r="G10" s="61">
        <v>0.05</v>
      </c>
      <c r="H10" s="62">
        <f t="shared" si="0"/>
        <v>4579.6865399999997</v>
      </c>
      <c r="I10" s="62">
        <f>E10*G10*$J$2</f>
        <v>1316.5645138344942</v>
      </c>
      <c r="J10" s="63">
        <f>H10-I10</f>
        <v>3263.1220261655053</v>
      </c>
    </row>
    <row r="11" spans="2:13" ht="15.75" hidden="1" x14ac:dyDescent="0.25">
      <c r="B11" s="58">
        <v>0.65</v>
      </c>
      <c r="C11" s="59">
        <f t="shared" si="6"/>
        <v>0.65</v>
      </c>
      <c r="D11" s="64">
        <f t="shared" si="1"/>
        <v>29.356964999999995</v>
      </c>
      <c r="E11" s="64">
        <f t="shared" si="2"/>
        <v>10.309148900228017</v>
      </c>
      <c r="F11" s="65">
        <f t="shared" si="3"/>
        <v>19.047816099771978</v>
      </c>
      <c r="G11" s="61">
        <v>0.05</v>
      </c>
      <c r="H11" s="66">
        <f t="shared" si="0"/>
        <v>4579.6865399999997</v>
      </c>
      <c r="I11" s="66">
        <f t="shared" si="4"/>
        <v>1608.2272284355709</v>
      </c>
      <c r="J11" s="67">
        <f t="shared" si="5"/>
        <v>2971.4593115644288</v>
      </c>
    </row>
    <row r="12" spans="2:13" ht="15.75" hidden="1" x14ac:dyDescent="0.25">
      <c r="B12" s="58">
        <v>0.7</v>
      </c>
      <c r="C12" s="59">
        <f t="shared" si="6"/>
        <v>0.7</v>
      </c>
      <c r="D12" s="68">
        <f t="shared" si="1"/>
        <v>29.356964999999995</v>
      </c>
      <c r="E12" s="68">
        <f t="shared" si="2"/>
        <v>12.407506769867384</v>
      </c>
      <c r="F12" s="60">
        <f t="shared" si="3"/>
        <v>16.949458230132613</v>
      </c>
      <c r="G12" s="61">
        <v>0.15</v>
      </c>
      <c r="H12" s="62">
        <f t="shared" si="0"/>
        <v>13739.059619999996</v>
      </c>
      <c r="I12" s="62">
        <f t="shared" si="4"/>
        <v>5806.7131682979352</v>
      </c>
      <c r="J12" s="63">
        <f t="shared" si="5"/>
        <v>7932.3464517020611</v>
      </c>
    </row>
    <row r="13" spans="2:13" ht="15.75" hidden="1" x14ac:dyDescent="0.25">
      <c r="B13" s="58">
        <v>0.75</v>
      </c>
      <c r="C13" s="59">
        <f t="shared" si="6"/>
        <v>0.75</v>
      </c>
      <c r="D13" s="64">
        <f t="shared" si="1"/>
        <v>29.356964999999995</v>
      </c>
      <c r="E13" s="64">
        <f t="shared" si="2"/>
        <v>14.743227913150497</v>
      </c>
      <c r="F13" s="65">
        <f t="shared" si="3"/>
        <v>14.613737086849499</v>
      </c>
      <c r="G13" s="61">
        <v>0.15</v>
      </c>
      <c r="H13" s="66">
        <f t="shared" si="0"/>
        <v>13739.059619999996</v>
      </c>
      <c r="I13" s="66">
        <f t="shared" si="4"/>
        <v>6899.8306633544316</v>
      </c>
      <c r="J13" s="67">
        <f t="shared" si="5"/>
        <v>6839.2289566455647</v>
      </c>
    </row>
    <row r="14" spans="2:13" ht="15.75" hidden="1" x14ac:dyDescent="0.25">
      <c r="B14" s="58">
        <v>0.8</v>
      </c>
      <c r="C14" s="59">
        <f t="shared" si="6"/>
        <v>0.8</v>
      </c>
      <c r="D14" s="68">
        <f t="shared" si="1"/>
        <v>29.356964999999995</v>
      </c>
      <c r="E14" s="68">
        <f t="shared" si="2"/>
        <v>17.324646757102084</v>
      </c>
      <c r="F14" s="60">
        <f t="shared" si="3"/>
        <v>12.032318242897912</v>
      </c>
      <c r="G14" s="61">
        <v>0.15</v>
      </c>
      <c r="H14" s="62">
        <f t="shared" si="0"/>
        <v>13739.059619999996</v>
      </c>
      <c r="I14" s="62">
        <f t="shared" si="4"/>
        <v>8107.9346823237747</v>
      </c>
      <c r="J14" s="63">
        <f t="shared" si="5"/>
        <v>5631.1249376762216</v>
      </c>
    </row>
    <row r="15" spans="2:13" ht="15.75" hidden="1" x14ac:dyDescent="0.25">
      <c r="B15" s="58">
        <v>0.85</v>
      </c>
      <c r="C15" s="59">
        <f t="shared" si="6"/>
        <v>0.85</v>
      </c>
      <c r="D15" s="64">
        <f t="shared" si="1"/>
        <v>29.356964999999995</v>
      </c>
      <c r="E15" s="64">
        <f t="shared" si="2"/>
        <v>20.159823943600969</v>
      </c>
      <c r="F15" s="65">
        <f t="shared" si="3"/>
        <v>9.1971410563990261</v>
      </c>
      <c r="G15" s="61">
        <v>0.2</v>
      </c>
      <c r="H15" s="66">
        <f t="shared" si="0"/>
        <v>18318.746159999999</v>
      </c>
      <c r="I15" s="66">
        <f t="shared" si="4"/>
        <v>12579.730140807007</v>
      </c>
      <c r="J15" s="67">
        <f t="shared" si="5"/>
        <v>5739.0160191929917</v>
      </c>
    </row>
    <row r="16" spans="2:13" ht="15.75" hidden="1" x14ac:dyDescent="0.25">
      <c r="B16" s="58">
        <v>0.9</v>
      </c>
      <c r="C16" s="59">
        <f t="shared" si="6"/>
        <v>0.9</v>
      </c>
      <c r="D16" s="68">
        <f t="shared" si="1"/>
        <v>29.356964999999995</v>
      </c>
      <c r="E16" s="68">
        <f t="shared" si="2"/>
        <v>23.256571675600345</v>
      </c>
      <c r="F16" s="60">
        <f t="shared" si="3"/>
        <v>6.1003933243996507</v>
      </c>
      <c r="G16" s="61">
        <v>0.15</v>
      </c>
      <c r="H16" s="62">
        <f t="shared" si="0"/>
        <v>13739.059619999996</v>
      </c>
      <c r="I16" s="62">
        <f t="shared" si="4"/>
        <v>10884.075544180962</v>
      </c>
      <c r="J16" s="63">
        <f t="shared" si="5"/>
        <v>2854.9840758190348</v>
      </c>
    </row>
    <row r="17" spans="2:36" ht="15.75" hidden="1" x14ac:dyDescent="0.25">
      <c r="B17" s="58">
        <v>0.95</v>
      </c>
      <c r="C17" s="59">
        <f t="shared" si="6"/>
        <v>0.95</v>
      </c>
      <c r="D17" s="64">
        <f t="shared" si="1"/>
        <v>29.356964999999995</v>
      </c>
      <c r="E17" s="64">
        <f t="shared" si="2"/>
        <v>26.622475376245987</v>
      </c>
      <c r="F17" s="65">
        <f t="shared" si="3"/>
        <v>2.7344896237540084</v>
      </c>
      <c r="G17" s="61">
        <v>0.05</v>
      </c>
      <c r="H17" s="66">
        <f t="shared" si="0"/>
        <v>4579.6865399999997</v>
      </c>
      <c r="I17" s="66">
        <f t="shared" si="4"/>
        <v>4153.1061586943742</v>
      </c>
      <c r="J17" s="67">
        <f t="shared" si="5"/>
        <v>426.58038130562545</v>
      </c>
    </row>
    <row r="18" spans="2:36" ht="15.75" hidden="1" x14ac:dyDescent="0.25">
      <c r="B18" s="69">
        <v>1</v>
      </c>
      <c r="C18" s="70">
        <f t="shared" si="6"/>
        <v>1</v>
      </c>
      <c r="D18" s="71">
        <f t="shared" si="1"/>
        <v>29.356964999999995</v>
      </c>
      <c r="E18" s="71">
        <f t="shared" si="2"/>
        <v>30.264912371134017</v>
      </c>
      <c r="F18" s="72">
        <f t="shared" si="3"/>
        <v>-0.90794737113402135</v>
      </c>
      <c r="G18" s="61">
        <v>0.05</v>
      </c>
      <c r="H18" s="73">
        <f t="shared" si="0"/>
        <v>4579.6865399999997</v>
      </c>
      <c r="I18" s="73">
        <f t="shared" si="4"/>
        <v>4721.3263298969068</v>
      </c>
      <c r="J18" s="74">
        <f t="shared" si="5"/>
        <v>-141.63978989690713</v>
      </c>
    </row>
    <row r="19" spans="2:36" ht="16.5" hidden="1" thickBot="1" x14ac:dyDescent="0.3">
      <c r="B19" s="75"/>
      <c r="C19" s="76"/>
      <c r="D19" s="77"/>
      <c r="E19" s="78" t="s">
        <v>64</v>
      </c>
      <c r="F19" s="78"/>
      <c r="G19" s="79">
        <f>SUM(G6:G18)</f>
        <v>1</v>
      </c>
      <c r="H19" s="80">
        <f>SUM(H6:H18)</f>
        <v>91593.730799999976</v>
      </c>
      <c r="I19" s="80">
        <f>SUM(I6:I18)</f>
        <v>56077.508429825451</v>
      </c>
      <c r="J19" s="81">
        <f>SUM(J6:J18)</f>
        <v>35516.222370174524</v>
      </c>
    </row>
    <row r="20" spans="2:36" hidden="1" x14ac:dyDescent="0.25"/>
    <row r="21" spans="2:36" ht="15.75" x14ac:dyDescent="0.25">
      <c r="B21" s="82" t="s">
        <v>65</v>
      </c>
      <c r="C21" s="31" t="s">
        <v>66</v>
      </c>
      <c r="AA21" s="34"/>
      <c r="AB21" s="34"/>
      <c r="AC21" s="34"/>
      <c r="AD21" s="34"/>
      <c r="AE21" s="34"/>
      <c r="AF21" s="35"/>
      <c r="AG21" s="35"/>
      <c r="AH21" s="35"/>
      <c r="AI21" s="35"/>
      <c r="AJ21" s="35"/>
    </row>
    <row r="22" spans="2:36" ht="21" x14ac:dyDescent="0.35">
      <c r="B22" s="82" t="s">
        <v>67</v>
      </c>
      <c r="C22" s="31">
        <v>33</v>
      </c>
      <c r="M22" s="147"/>
    </row>
    <row r="23" spans="2:36" ht="15.75" x14ac:dyDescent="0.25">
      <c r="B23" s="82" t="s">
        <v>68</v>
      </c>
      <c r="C23" s="31">
        <v>1</v>
      </c>
      <c r="Q23" s="83" t="s">
        <v>69</v>
      </c>
      <c r="R23" s="84"/>
      <c r="S23" s="85"/>
      <c r="AA23" s="9"/>
      <c r="AB23" s="35"/>
      <c r="AC23" s="35"/>
      <c r="AD23" s="35"/>
      <c r="AE23" s="35"/>
    </row>
    <row r="24" spans="2:36" ht="15.75" x14ac:dyDescent="0.25">
      <c r="B24" s="82" t="s">
        <v>70</v>
      </c>
      <c r="C24" s="31">
        <v>1400</v>
      </c>
      <c r="D24" t="s">
        <v>71</v>
      </c>
      <c r="R24" s="86" t="s">
        <v>72</v>
      </c>
      <c r="S24" s="86" t="s">
        <v>73</v>
      </c>
      <c r="AA24" s="9"/>
      <c r="AB24" s="35"/>
      <c r="AC24" s="35"/>
      <c r="AD24" s="35"/>
      <c r="AE24" s="35"/>
    </row>
    <row r="25" spans="2:36" ht="15.75" x14ac:dyDescent="0.25">
      <c r="B25" s="82" t="s">
        <v>74</v>
      </c>
      <c r="C25" s="175">
        <f>C24*0.954</f>
        <v>1335.6</v>
      </c>
      <c r="D25" t="s">
        <v>75</v>
      </c>
      <c r="R25" s="87">
        <v>0.02</v>
      </c>
      <c r="S25" s="87">
        <f>Q25*R25</f>
        <v>0</v>
      </c>
      <c r="AA25" s="9"/>
      <c r="AB25" s="35"/>
      <c r="AC25" s="35"/>
      <c r="AD25" s="35"/>
      <c r="AE25" s="35"/>
    </row>
    <row r="26" spans="2:36" ht="15.75" x14ac:dyDescent="0.25">
      <c r="B26" s="82" t="s">
        <v>76</v>
      </c>
      <c r="C26" s="40">
        <v>0.8</v>
      </c>
      <c r="D26" s="88"/>
      <c r="R26" s="87">
        <v>0.43</v>
      </c>
      <c r="S26" s="87">
        <f t="shared" ref="S26:S27" si="7">Q26*R26</f>
        <v>0</v>
      </c>
      <c r="AA26" s="9"/>
      <c r="AB26" s="9"/>
      <c r="AC26" s="9"/>
      <c r="AD26" s="9"/>
      <c r="AE26" s="9"/>
    </row>
    <row r="27" spans="2:36" ht="15.75" hidden="1" x14ac:dyDescent="0.25">
      <c r="B27" s="82" t="s">
        <v>77</v>
      </c>
      <c r="C27" s="40">
        <v>0.03</v>
      </c>
      <c r="R27" s="87">
        <v>0.4</v>
      </c>
      <c r="S27" s="87">
        <f t="shared" si="7"/>
        <v>0</v>
      </c>
      <c r="AA27" s="33"/>
      <c r="AB27" s="32"/>
      <c r="AC27" s="33"/>
      <c r="AD27" s="33"/>
      <c r="AE27" s="33"/>
    </row>
    <row r="28" spans="2:36" ht="15.75" hidden="1" x14ac:dyDescent="0.25">
      <c r="B28" s="90" t="s">
        <v>78</v>
      </c>
      <c r="C28" s="150">
        <f>IF(Method=1,Pump_Power_kW,IF(Method=2,(H$54*C32^2+J$54*C32+K$54)*Pump_Power_kW))</f>
        <v>29.356964999999995</v>
      </c>
      <c r="R28" s="87">
        <v>0.13</v>
      </c>
      <c r="S28" s="87">
        <f>Q28*R28</f>
        <v>0</v>
      </c>
      <c r="AA28" s="33"/>
      <c r="AB28" s="32"/>
      <c r="AC28" s="33"/>
      <c r="AD28" s="33"/>
      <c r="AE28" s="33"/>
    </row>
    <row r="29" spans="2:36" ht="15.75" hidden="1" x14ac:dyDescent="0.25">
      <c r="B29" s="90" t="s">
        <v>79</v>
      </c>
      <c r="C29" s="150">
        <f>C32^Power_speed_reduction*Pump_Power_kW/(1-VFD_eff_pen)</f>
        <v>26.903597537480529</v>
      </c>
      <c r="R29" s="87"/>
      <c r="S29" s="87">
        <f>SUM(S25:S28)</f>
        <v>0</v>
      </c>
      <c r="AA29" s="33"/>
      <c r="AB29" s="32"/>
      <c r="AC29" s="33"/>
      <c r="AD29" s="33"/>
      <c r="AE29" s="33"/>
    </row>
    <row r="30" spans="2:36" ht="15.75" hidden="1" x14ac:dyDescent="0.25">
      <c r="B30" s="93" t="s">
        <v>80</v>
      </c>
      <c r="C30" s="91">
        <v>8930.52</v>
      </c>
      <c r="AA30" s="33"/>
      <c r="AB30" s="32"/>
      <c r="AC30" s="33"/>
      <c r="AD30" s="33"/>
      <c r="AE30" s="33"/>
    </row>
    <row r="31" spans="2:36" ht="15.75" hidden="1" x14ac:dyDescent="0.25">
      <c r="B31" s="144" t="s">
        <v>81</v>
      </c>
      <c r="C31" s="145">
        <v>4.6180000000000003</v>
      </c>
      <c r="Q31" t="s">
        <v>82</v>
      </c>
      <c r="T31" s="92">
        <v>500</v>
      </c>
      <c r="AA31" s="33"/>
      <c r="AB31" s="32"/>
      <c r="AC31" s="33"/>
      <c r="AD31" s="33"/>
      <c r="AE31" s="33"/>
    </row>
    <row r="32" spans="2:36" ht="15.75" hidden="1" x14ac:dyDescent="0.25">
      <c r="B32" s="93" t="s">
        <v>83</v>
      </c>
      <c r="C32" s="151">
        <f>C25/C24</f>
        <v>0.95399999999999996</v>
      </c>
      <c r="Q32" t="s">
        <v>84</v>
      </c>
      <c r="T32" s="92">
        <f>T31*C22*C23</f>
        <v>16500</v>
      </c>
      <c r="AA32" s="9"/>
      <c r="AB32" s="9"/>
      <c r="AC32" s="9"/>
      <c r="AD32" s="9"/>
      <c r="AE32" s="9"/>
    </row>
    <row r="33" spans="2:31" ht="15.75" hidden="1" x14ac:dyDescent="0.25">
      <c r="B33" s="90" t="s">
        <v>85</v>
      </c>
      <c r="C33" s="150">
        <f>C22*C47*(C32/C26)</f>
        <v>29.356964999999995</v>
      </c>
      <c r="D33" s="88"/>
      <c r="T33" s="92"/>
      <c r="AA33" s="33"/>
      <c r="AB33" s="32"/>
      <c r="AC33" s="33"/>
      <c r="AD33" s="33"/>
      <c r="AE33" s="33"/>
    </row>
    <row r="34" spans="2:31" ht="15.75" hidden="1" x14ac:dyDescent="0.25">
      <c r="B34" s="90" t="s">
        <v>86</v>
      </c>
      <c r="C34" s="150">
        <f>C23*C33</f>
        <v>29.356964999999995</v>
      </c>
      <c r="D34" s="88"/>
      <c r="T34" s="94">
        <f>C39/T32</f>
        <v>0.23790229939582705</v>
      </c>
      <c r="AA34" s="33"/>
      <c r="AB34" s="32"/>
      <c r="AC34" s="33"/>
      <c r="AD34" s="33"/>
      <c r="AE34" s="33"/>
    </row>
    <row r="35" spans="2:31" ht="15.75" x14ac:dyDescent="0.25">
      <c r="B35" s="90" t="s">
        <v>87</v>
      </c>
      <c r="C35" s="95">
        <v>1600</v>
      </c>
      <c r="D35" s="88"/>
      <c r="AA35" s="33"/>
      <c r="AB35" s="32"/>
      <c r="AC35" s="33"/>
      <c r="AD35" s="33"/>
      <c r="AE35" s="33"/>
    </row>
    <row r="36" spans="2:31" ht="15.75" x14ac:dyDescent="0.25">
      <c r="B36" s="90" t="s">
        <v>88</v>
      </c>
      <c r="C36" s="152">
        <f>(C28-C29)*C23</f>
        <v>2.4533674625194664</v>
      </c>
      <c r="AA36" s="33"/>
      <c r="AB36" s="32"/>
      <c r="AC36" s="33"/>
      <c r="AD36" s="33"/>
      <c r="AE36" s="33"/>
    </row>
    <row r="37" spans="2:31" ht="15.75" x14ac:dyDescent="0.25">
      <c r="B37" s="90" t="s">
        <v>89</v>
      </c>
      <c r="C37" s="152">
        <f>C36*C31</f>
        <v>11.329650941914897</v>
      </c>
      <c r="Q37" s="104" t="s">
        <v>90</v>
      </c>
      <c r="R37" s="37"/>
      <c r="S37" s="38" t="s">
        <v>91</v>
      </c>
      <c r="T37" s="37"/>
      <c r="AA37" s="33"/>
      <c r="AB37" s="32"/>
      <c r="AC37" s="33"/>
      <c r="AD37" s="33"/>
      <c r="AE37" s="33"/>
    </row>
    <row r="38" spans="2:31" ht="15.75" x14ac:dyDescent="0.25">
      <c r="B38" s="93" t="s">
        <v>92</v>
      </c>
      <c r="C38" s="152">
        <f>C36*C30</f>
        <v>21909.847191379347</v>
      </c>
      <c r="Q38" s="104" t="s">
        <v>93</v>
      </c>
      <c r="R38" s="37"/>
      <c r="S38" s="41">
        <v>3</v>
      </c>
      <c r="T38" s="37"/>
      <c r="U38" s="37"/>
      <c r="V38" s="37"/>
      <c r="W38" s="37"/>
      <c r="X38" s="37"/>
      <c r="Y38" s="37"/>
      <c r="AA38" s="33"/>
      <c r="AB38" s="32"/>
      <c r="AC38" s="33"/>
      <c r="AD38" s="33"/>
      <c r="AE38" s="33"/>
    </row>
    <row r="39" spans="2:31" ht="15.75" x14ac:dyDescent="0.25">
      <c r="B39" s="96" t="s">
        <v>94</v>
      </c>
      <c r="C39" s="153">
        <f>C36*C35</f>
        <v>3925.3879400311462</v>
      </c>
      <c r="Q39" s="104" t="s">
        <v>95</v>
      </c>
      <c r="R39" s="37"/>
      <c r="S39" s="37"/>
      <c r="T39" s="37"/>
      <c r="U39" s="37"/>
      <c r="V39" s="37"/>
      <c r="W39" s="37"/>
      <c r="X39" s="37"/>
      <c r="Y39" s="37"/>
      <c r="AA39" s="33"/>
      <c r="AB39" s="32"/>
      <c r="AC39" s="33"/>
      <c r="AD39" s="33"/>
      <c r="AE39" s="33"/>
    </row>
    <row r="40" spans="2:31" ht="27" customHeight="1" x14ac:dyDescent="0.25">
      <c r="Q40" s="38" t="s">
        <v>96</v>
      </c>
      <c r="R40" s="38" t="s">
        <v>97</v>
      </c>
      <c r="S40" s="39" t="s">
        <v>98</v>
      </c>
      <c r="T40" s="38" t="s">
        <v>99</v>
      </c>
      <c r="U40" s="39" t="s">
        <v>100</v>
      </c>
      <c r="V40" s="38" t="s">
        <v>101</v>
      </c>
      <c r="W40" s="38" t="s">
        <v>102</v>
      </c>
      <c r="X40" s="38" t="s">
        <v>103</v>
      </c>
      <c r="Y40" s="38" t="s">
        <v>104</v>
      </c>
      <c r="AA40" s="33"/>
      <c r="AB40" s="32"/>
      <c r="AC40" s="33"/>
      <c r="AD40" s="33"/>
      <c r="AE40" s="33"/>
    </row>
    <row r="41" spans="2:31" ht="19.5" hidden="1" customHeight="1" x14ac:dyDescent="0.25">
      <c r="B41" s="97" t="s">
        <v>105</v>
      </c>
      <c r="C41" s="98"/>
      <c r="D41" s="98"/>
      <c r="E41" s="98"/>
      <c r="F41" s="89"/>
      <c r="G41" s="89"/>
      <c r="Q41" s="94">
        <f>S41/T41</f>
        <v>1</v>
      </c>
      <c r="R41" s="94">
        <f>W41/X41</f>
        <v>1</v>
      </c>
      <c r="S41" s="36">
        <f t="shared" ref="S41:S59" si="8">T41*(Y41^(1/$S$38))</f>
        <v>10</v>
      </c>
      <c r="T41">
        <v>10</v>
      </c>
      <c r="U41" s="36">
        <f>V41*Y41</f>
        <v>1000</v>
      </c>
      <c r="V41">
        <v>1000</v>
      </c>
      <c r="W41">
        <v>3500</v>
      </c>
      <c r="X41">
        <v>3500</v>
      </c>
      <c r="Y41">
        <f>W41/X41</f>
        <v>1</v>
      </c>
      <c r="AA41" s="33"/>
      <c r="AB41" s="32"/>
      <c r="AC41" s="33"/>
      <c r="AD41" s="33"/>
      <c r="AE41" s="33"/>
    </row>
    <row r="42" spans="2:31" ht="20.25" hidden="1" customHeight="1" x14ac:dyDescent="0.25">
      <c r="B42" s="99" t="s">
        <v>106</v>
      </c>
      <c r="C42" s="100">
        <f>IF(C21=D43,C43,C44)</f>
        <v>2.5</v>
      </c>
      <c r="D42" s="101"/>
      <c r="E42" s="98"/>
      <c r="H42" s="102"/>
      <c r="I42" s="102"/>
      <c r="Q42" s="94">
        <f t="shared" ref="Q42:Q58" si="9">S42/T42</f>
        <v>0.99521523780284615</v>
      </c>
      <c r="R42" s="94">
        <f t="shared" ref="R42:R58" si="10">W42/X42</f>
        <v>0.98571428571428577</v>
      </c>
      <c r="S42" s="36">
        <f t="shared" si="8"/>
        <v>9.9521523780284618</v>
      </c>
      <c r="T42">
        <v>10</v>
      </c>
      <c r="U42" s="36">
        <f t="shared" ref="U42:U59" si="11">V42*Y42</f>
        <v>985.71428571428578</v>
      </c>
      <c r="V42">
        <v>1000</v>
      </c>
      <c r="W42">
        <v>3450</v>
      </c>
      <c r="X42">
        <v>3500</v>
      </c>
      <c r="Y42">
        <f t="shared" ref="Y42:Y59" si="12">W42/X42</f>
        <v>0.98571428571428577</v>
      </c>
      <c r="AA42" s="33"/>
      <c r="AB42" s="32"/>
      <c r="AC42" s="33"/>
      <c r="AD42" s="33"/>
      <c r="AE42" s="33"/>
    </row>
    <row r="43" spans="2:31" ht="15.75" hidden="1" x14ac:dyDescent="0.25">
      <c r="B43" s="99" t="s">
        <v>107</v>
      </c>
      <c r="C43" s="100">
        <v>2.5</v>
      </c>
      <c r="D43" s="98" t="s">
        <v>66</v>
      </c>
      <c r="E43" s="98"/>
      <c r="H43" s="102"/>
      <c r="I43" s="102"/>
      <c r="Q43" s="94">
        <f t="shared" si="9"/>
        <v>0.98550520165016198</v>
      </c>
      <c r="R43" s="94">
        <f t="shared" si="10"/>
        <v>0.95714285714285718</v>
      </c>
      <c r="S43" s="36">
        <f t="shared" si="8"/>
        <v>9.8550520165016202</v>
      </c>
      <c r="T43">
        <v>10</v>
      </c>
      <c r="U43" s="36">
        <f t="shared" si="11"/>
        <v>957.14285714285722</v>
      </c>
      <c r="V43">
        <v>1000</v>
      </c>
      <c r="W43">
        <v>3350</v>
      </c>
      <c r="X43">
        <v>3500</v>
      </c>
      <c r="Y43">
        <f t="shared" si="12"/>
        <v>0.95714285714285718</v>
      </c>
      <c r="AA43" s="33"/>
      <c r="AB43" s="32"/>
      <c r="AC43" s="33"/>
      <c r="AD43" s="33"/>
      <c r="AE43" s="33"/>
    </row>
    <row r="44" spans="2:31" ht="15.75" hidden="1" x14ac:dyDescent="0.25">
      <c r="B44" s="99" t="s">
        <v>108</v>
      </c>
      <c r="C44" s="100">
        <v>1.75</v>
      </c>
      <c r="D44" s="98" t="s">
        <v>109</v>
      </c>
      <c r="E44" s="98"/>
      <c r="H44" s="102"/>
      <c r="I44" s="102"/>
      <c r="Q44" s="94">
        <f t="shared" si="9"/>
        <v>0.97559995634755725</v>
      </c>
      <c r="R44" s="94">
        <f t="shared" si="10"/>
        <v>0.9285714285714286</v>
      </c>
      <c r="S44" s="36">
        <f t="shared" si="8"/>
        <v>9.755999563475573</v>
      </c>
      <c r="T44">
        <v>10</v>
      </c>
      <c r="U44" s="36">
        <f t="shared" si="11"/>
        <v>928.57142857142856</v>
      </c>
      <c r="V44">
        <v>1000</v>
      </c>
      <c r="W44">
        <v>3250</v>
      </c>
      <c r="X44">
        <v>3500</v>
      </c>
      <c r="Y44">
        <f t="shared" si="12"/>
        <v>0.9285714285714286</v>
      </c>
      <c r="AA44" s="33"/>
      <c r="AB44" s="32"/>
      <c r="AC44" s="33"/>
      <c r="AD44" s="33"/>
      <c r="AE44" s="33"/>
    </row>
    <row r="45" spans="2:31" ht="15.75" x14ac:dyDescent="0.25">
      <c r="B45" s="82" t="s">
        <v>110</v>
      </c>
      <c r="C45" s="174">
        <v>1</v>
      </c>
      <c r="D45" s="98"/>
      <c r="E45" s="98"/>
      <c r="Q45" s="94">
        <f t="shared" si="9"/>
        <v>0.96548938460562961</v>
      </c>
      <c r="R45" s="94">
        <f t="shared" si="10"/>
        <v>0.9</v>
      </c>
      <c r="S45" s="36">
        <f t="shared" si="8"/>
        <v>9.6548938460562965</v>
      </c>
      <c r="T45">
        <v>10</v>
      </c>
      <c r="U45" s="36">
        <f t="shared" si="11"/>
        <v>900</v>
      </c>
      <c r="V45">
        <v>1000</v>
      </c>
      <c r="W45">
        <v>3150</v>
      </c>
      <c r="X45">
        <v>3500</v>
      </c>
      <c r="Y45">
        <f t="shared" si="12"/>
        <v>0.9</v>
      </c>
      <c r="AA45" s="9"/>
      <c r="AB45" s="9"/>
      <c r="AC45" s="9"/>
      <c r="AD45" s="9"/>
      <c r="AE45" s="9"/>
    </row>
    <row r="46" spans="2:31" ht="15.75" x14ac:dyDescent="0.25">
      <c r="B46" s="164" t="s">
        <v>111</v>
      </c>
      <c r="C46" s="100" t="s">
        <v>112</v>
      </c>
      <c r="D46" s="98"/>
      <c r="E46" s="98"/>
      <c r="Q46" s="94">
        <f t="shared" si="9"/>
        <v>0.95516250313586215</v>
      </c>
      <c r="R46" s="94">
        <f t="shared" si="10"/>
        <v>0.87142857142857144</v>
      </c>
      <c r="S46" s="36">
        <f t="shared" si="8"/>
        <v>9.551625031358622</v>
      </c>
      <c r="T46">
        <v>10</v>
      </c>
      <c r="U46" s="36">
        <f t="shared" si="11"/>
        <v>871.42857142857144</v>
      </c>
      <c r="V46">
        <v>1000</v>
      </c>
      <c r="W46">
        <v>3050</v>
      </c>
      <c r="X46">
        <v>3500</v>
      </c>
      <c r="Y46">
        <f t="shared" si="12"/>
        <v>0.87142857142857144</v>
      </c>
    </row>
    <row r="47" spans="2:31" ht="16.5" hidden="1" thickBot="1" x14ac:dyDescent="0.3">
      <c r="B47" s="103" t="s">
        <v>113</v>
      </c>
      <c r="C47" s="163">
        <v>0.746</v>
      </c>
      <c r="D47" s="98"/>
      <c r="E47" s="98"/>
      <c r="Q47" s="94">
        <f t="shared" si="9"/>
        <v>0.94460735733439738</v>
      </c>
      <c r="R47" s="94">
        <f t="shared" si="10"/>
        <v>0.84285714285714286</v>
      </c>
      <c r="S47" s="36">
        <f t="shared" si="8"/>
        <v>9.4460735733439734</v>
      </c>
      <c r="T47">
        <v>10</v>
      </c>
      <c r="U47" s="36">
        <f t="shared" si="11"/>
        <v>842.85714285714289</v>
      </c>
      <c r="V47">
        <v>1000</v>
      </c>
      <c r="W47">
        <v>2950</v>
      </c>
      <c r="X47">
        <v>3500</v>
      </c>
      <c r="Y47">
        <f t="shared" si="12"/>
        <v>0.84285714285714286</v>
      </c>
    </row>
    <row r="48" spans="2:31" ht="15.75" hidden="1" x14ac:dyDescent="0.25">
      <c r="B48" s="105" t="s">
        <v>114</v>
      </c>
      <c r="C48" s="106"/>
      <c r="D48" s="106"/>
      <c r="E48" s="106"/>
      <c r="F48" s="106"/>
      <c r="G48" s="106"/>
      <c r="H48" s="106"/>
      <c r="I48" s="106"/>
      <c r="J48" s="106"/>
      <c r="K48" s="51"/>
      <c r="Q48" s="94">
        <f t="shared" si="9"/>
        <v>0.93381089910363069</v>
      </c>
      <c r="R48" s="94">
        <f t="shared" si="10"/>
        <v>0.81428571428571428</v>
      </c>
      <c r="S48" s="36">
        <f t="shared" si="8"/>
        <v>9.3381089910363073</v>
      </c>
      <c r="T48">
        <v>10</v>
      </c>
      <c r="U48" s="36">
        <f t="shared" si="11"/>
        <v>814.28571428571433</v>
      </c>
      <c r="V48">
        <v>1000</v>
      </c>
      <c r="W48">
        <v>2850</v>
      </c>
      <c r="X48">
        <v>3500</v>
      </c>
      <c r="Y48">
        <f t="shared" si="12"/>
        <v>0.81428571428571428</v>
      </c>
    </row>
    <row r="49" spans="2:25" hidden="1" x14ac:dyDescent="0.25">
      <c r="B49" s="107"/>
      <c r="K49" s="108"/>
      <c r="Q49" s="94">
        <f t="shared" si="9"/>
        <v>0.92275884441633971</v>
      </c>
      <c r="R49" s="94">
        <f t="shared" si="10"/>
        <v>0.7857142857142857</v>
      </c>
      <c r="S49" s="36">
        <f t="shared" si="8"/>
        <v>9.2275884441633966</v>
      </c>
      <c r="T49">
        <v>10</v>
      </c>
      <c r="U49" s="36">
        <f t="shared" si="11"/>
        <v>785.71428571428567</v>
      </c>
      <c r="V49">
        <v>1000</v>
      </c>
      <c r="W49">
        <v>2750</v>
      </c>
      <c r="X49">
        <v>3500</v>
      </c>
      <c r="Y49">
        <f t="shared" si="12"/>
        <v>0.7857142857142857</v>
      </c>
    </row>
    <row r="50" spans="2:25" hidden="1" x14ac:dyDescent="0.25">
      <c r="B50" s="109" t="s">
        <v>115</v>
      </c>
      <c r="C50" s="7"/>
      <c r="D50" s="7"/>
      <c r="E50" s="7"/>
      <c r="F50" s="7"/>
      <c r="G50" s="7"/>
      <c r="H50" s="7"/>
      <c r="I50" s="7"/>
      <c r="J50" s="7"/>
      <c r="K50" s="110"/>
      <c r="Q50" s="94">
        <f t="shared" si="9"/>
        <v>0.91143550639300808</v>
      </c>
      <c r="R50" s="94">
        <f t="shared" si="10"/>
        <v>0.75714285714285712</v>
      </c>
      <c r="S50" s="36">
        <f t="shared" si="8"/>
        <v>9.1143550639300805</v>
      </c>
      <c r="T50">
        <v>10</v>
      </c>
      <c r="U50" s="36">
        <f t="shared" si="11"/>
        <v>757.14285714285711</v>
      </c>
      <c r="V50">
        <v>1000</v>
      </c>
      <c r="W50">
        <v>2650</v>
      </c>
      <c r="X50">
        <v>3500</v>
      </c>
      <c r="Y50">
        <f t="shared" si="12"/>
        <v>0.75714285714285712</v>
      </c>
    </row>
    <row r="51" spans="2:25" hidden="1" x14ac:dyDescent="0.25">
      <c r="B51" s="109"/>
      <c r="C51" s="7"/>
      <c r="D51" s="7"/>
      <c r="E51" s="7"/>
      <c r="F51" s="7"/>
      <c r="G51" s="7"/>
      <c r="H51" s="7"/>
      <c r="I51" s="7"/>
      <c r="J51" s="7"/>
      <c r="K51" s="110"/>
      <c r="Q51" s="94">
        <f t="shared" si="9"/>
        <v>0.89982359858427041</v>
      </c>
      <c r="R51" s="94">
        <f t="shared" si="10"/>
        <v>0.72857142857142854</v>
      </c>
      <c r="S51" s="36">
        <f t="shared" si="8"/>
        <v>8.9982359858427046</v>
      </c>
      <c r="T51">
        <v>10</v>
      </c>
      <c r="U51" s="36">
        <f t="shared" si="11"/>
        <v>728.57142857142856</v>
      </c>
      <c r="V51">
        <v>1000</v>
      </c>
      <c r="W51">
        <v>2550</v>
      </c>
      <c r="X51">
        <v>3500</v>
      </c>
      <c r="Y51">
        <f t="shared" si="12"/>
        <v>0.72857142857142854</v>
      </c>
    </row>
    <row r="52" spans="2:25" ht="15" hidden="1" customHeight="1" x14ac:dyDescent="0.25">
      <c r="B52" s="109" t="s">
        <v>116</v>
      </c>
      <c r="C52" s="7"/>
      <c r="D52" s="7"/>
      <c r="E52" s="7"/>
      <c r="F52" s="111"/>
      <c r="G52" s="111"/>
      <c r="H52" s="112" t="s">
        <v>117</v>
      </c>
      <c r="I52" s="112"/>
      <c r="J52" s="112" t="s">
        <v>118</v>
      </c>
      <c r="K52" s="113" t="s">
        <v>119</v>
      </c>
      <c r="Q52" s="94">
        <f t="shared" si="9"/>
        <v>0.88790400174260076</v>
      </c>
      <c r="R52" s="94">
        <f t="shared" si="10"/>
        <v>0.7</v>
      </c>
      <c r="S52" s="36">
        <f t="shared" si="8"/>
        <v>8.8790400174260071</v>
      </c>
      <c r="T52">
        <v>10</v>
      </c>
      <c r="U52" s="36">
        <f t="shared" si="11"/>
        <v>700</v>
      </c>
      <c r="V52">
        <v>1000</v>
      </c>
      <c r="W52">
        <v>2450</v>
      </c>
      <c r="X52">
        <v>3500</v>
      </c>
      <c r="Y52">
        <f t="shared" si="12"/>
        <v>0.7</v>
      </c>
    </row>
    <row r="53" spans="2:25" ht="15" hidden="1" customHeight="1" x14ac:dyDescent="0.25">
      <c r="B53" s="114"/>
      <c r="C53" s="7"/>
      <c r="D53" s="7"/>
      <c r="E53" s="7"/>
      <c r="F53" s="7"/>
      <c r="G53" s="7"/>
      <c r="H53" s="7"/>
      <c r="I53" s="7"/>
      <c r="J53" s="7"/>
      <c r="K53" s="110"/>
      <c r="Q53" s="94">
        <f t="shared" si="9"/>
        <v>0.87565548551233108</v>
      </c>
      <c r="R53" s="94">
        <f t="shared" si="10"/>
        <v>0.67142857142857137</v>
      </c>
      <c r="S53" s="36">
        <f t="shared" si="8"/>
        <v>8.7565548551233103</v>
      </c>
      <c r="T53">
        <v>10</v>
      </c>
      <c r="U53" s="36">
        <f t="shared" si="11"/>
        <v>671.42857142857133</v>
      </c>
      <c r="V53">
        <v>1000</v>
      </c>
      <c r="W53">
        <v>2350</v>
      </c>
      <c r="X53">
        <v>3500</v>
      </c>
      <c r="Y53">
        <f t="shared" si="12"/>
        <v>0.67142857142857137</v>
      </c>
    </row>
    <row r="54" spans="2:25" ht="15" hidden="1" customHeight="1" x14ac:dyDescent="0.25">
      <c r="B54" s="115" t="s">
        <v>120</v>
      </c>
      <c r="C54" s="7"/>
      <c r="D54" s="7"/>
      <c r="E54" s="7"/>
      <c r="F54" s="7"/>
      <c r="G54" s="7"/>
      <c r="H54" s="142">
        <v>-0.4375</v>
      </c>
      <c r="I54" s="7"/>
      <c r="J54" s="142">
        <v>1.0261</v>
      </c>
      <c r="K54" s="143">
        <v>0.41070000000000001</v>
      </c>
      <c r="Q54" s="94">
        <f t="shared" si="9"/>
        <v>0.86305437399718199</v>
      </c>
      <c r="R54" s="94">
        <f t="shared" si="10"/>
        <v>0.6428571428571429</v>
      </c>
      <c r="S54" s="36">
        <f t="shared" si="8"/>
        <v>8.6305437399718201</v>
      </c>
      <c r="T54">
        <v>10</v>
      </c>
      <c r="U54" s="36">
        <f t="shared" si="11"/>
        <v>642.85714285714289</v>
      </c>
      <c r="V54">
        <v>1000</v>
      </c>
      <c r="W54">
        <v>2250</v>
      </c>
      <c r="X54">
        <v>3500</v>
      </c>
      <c r="Y54">
        <f t="shared" si="12"/>
        <v>0.6428571428571429</v>
      </c>
    </row>
    <row r="55" spans="2:25" ht="15" hidden="1" customHeight="1" thickBot="1" x14ac:dyDescent="0.3">
      <c r="B55" s="116"/>
      <c r="C55" s="117"/>
      <c r="D55" s="117"/>
      <c r="E55" s="117"/>
      <c r="F55" s="117"/>
      <c r="G55" s="117"/>
      <c r="H55" s="117"/>
      <c r="I55" s="117"/>
      <c r="J55" s="117"/>
      <c r="K55" s="118"/>
      <c r="Q55" s="94">
        <f t="shared" si="9"/>
        <v>0.85007414083889432</v>
      </c>
      <c r="R55" s="94">
        <f t="shared" si="10"/>
        <v>0.61428571428571432</v>
      </c>
      <c r="S55" s="36">
        <f t="shared" si="8"/>
        <v>8.5007414083889437</v>
      </c>
      <c r="T55">
        <v>10</v>
      </c>
      <c r="U55" s="36">
        <f t="shared" si="11"/>
        <v>614.28571428571433</v>
      </c>
      <c r="V55">
        <v>1000</v>
      </c>
      <c r="W55">
        <v>2150</v>
      </c>
      <c r="X55">
        <v>3500</v>
      </c>
      <c r="Y55">
        <f t="shared" si="12"/>
        <v>0.61428571428571432</v>
      </c>
    </row>
    <row r="56" spans="2:25" ht="15" hidden="1" customHeight="1" x14ac:dyDescent="0.25">
      <c r="Q56" s="94">
        <f t="shared" si="9"/>
        <v>0.8366849149081983</v>
      </c>
      <c r="R56" s="94">
        <f t="shared" si="10"/>
        <v>0.58571428571428574</v>
      </c>
      <c r="S56" s="36">
        <f t="shared" si="8"/>
        <v>8.3668491490819825</v>
      </c>
      <c r="T56">
        <v>10</v>
      </c>
      <c r="U56" s="36">
        <f t="shared" si="11"/>
        <v>585.71428571428578</v>
      </c>
      <c r="V56">
        <v>1000</v>
      </c>
      <c r="W56">
        <v>2050</v>
      </c>
      <c r="X56">
        <v>3500</v>
      </c>
      <c r="Y56">
        <f t="shared" si="12"/>
        <v>0.58571428571428574</v>
      </c>
    </row>
    <row r="57" spans="2:25" ht="15" hidden="1" customHeight="1" x14ac:dyDescent="0.25">
      <c r="B57" s="120" t="s">
        <v>121</v>
      </c>
      <c r="C57" s="121"/>
      <c r="D57" s="121"/>
      <c r="E57" s="122"/>
      <c r="Q57" s="94">
        <f t="shared" si="9"/>
        <v>0.82285287145049058</v>
      </c>
      <c r="R57" s="94">
        <f t="shared" si="10"/>
        <v>0.55714285714285716</v>
      </c>
      <c r="S57" s="36">
        <f t="shared" si="8"/>
        <v>8.2285287145049058</v>
      </c>
      <c r="T57">
        <v>10</v>
      </c>
      <c r="U57" s="36">
        <f t="shared" si="11"/>
        <v>557.14285714285711</v>
      </c>
      <c r="V57">
        <v>1000</v>
      </c>
      <c r="W57">
        <v>1950</v>
      </c>
      <c r="X57">
        <v>3500</v>
      </c>
      <c r="Y57">
        <f t="shared" si="12"/>
        <v>0.55714285714285716</v>
      </c>
    </row>
    <row r="58" spans="2:25" ht="15" hidden="1" customHeight="1" x14ac:dyDescent="0.25">
      <c r="Q58" s="94">
        <f t="shared" si="9"/>
        <v>0.80853947476063903</v>
      </c>
      <c r="R58" s="94">
        <f t="shared" si="10"/>
        <v>0.52857142857142858</v>
      </c>
      <c r="S58" s="36">
        <f t="shared" si="8"/>
        <v>8.0853947476063901</v>
      </c>
      <c r="T58">
        <v>10</v>
      </c>
      <c r="U58" s="36">
        <f t="shared" si="11"/>
        <v>528.57142857142856</v>
      </c>
      <c r="V58">
        <v>1000</v>
      </c>
      <c r="W58">
        <v>1850</v>
      </c>
      <c r="X58">
        <v>3500</v>
      </c>
      <c r="Y58">
        <f t="shared" si="12"/>
        <v>0.52857142857142858</v>
      </c>
    </row>
    <row r="59" spans="2:25" ht="15" hidden="1" customHeight="1" x14ac:dyDescent="0.25">
      <c r="B59" s="123" t="s">
        <v>122</v>
      </c>
      <c r="C59" s="124" t="s">
        <v>123</v>
      </c>
      <c r="D59" s="125"/>
      <c r="E59" s="126"/>
      <c r="Q59" s="94">
        <f>S59/T59</f>
        <v>0.79370052598409979</v>
      </c>
      <c r="R59" s="94">
        <f>W59/X59</f>
        <v>0.5</v>
      </c>
      <c r="S59" s="36">
        <f t="shared" si="8"/>
        <v>7.9370052598409977</v>
      </c>
      <c r="T59">
        <v>10</v>
      </c>
      <c r="U59" s="36">
        <f t="shared" si="11"/>
        <v>500</v>
      </c>
      <c r="V59">
        <v>1000</v>
      </c>
      <c r="W59">
        <v>1750</v>
      </c>
      <c r="X59">
        <v>3500</v>
      </c>
      <c r="Y59">
        <f t="shared" si="12"/>
        <v>0.5</v>
      </c>
    </row>
    <row r="60" spans="2:25" ht="15" hidden="1" customHeight="1" x14ac:dyDescent="0.25">
      <c r="B60" s="127" t="s">
        <v>124</v>
      </c>
      <c r="C60" s="123"/>
      <c r="D60" s="128" t="s">
        <v>125</v>
      </c>
      <c r="E60" s="129" t="s">
        <v>126</v>
      </c>
    </row>
    <row r="61" spans="2:25" ht="15" hidden="1" customHeight="1" x14ac:dyDescent="0.25">
      <c r="B61" s="130" t="s">
        <v>127</v>
      </c>
      <c r="C61" s="130" t="s">
        <v>128</v>
      </c>
      <c r="D61" s="131" t="s">
        <v>129</v>
      </c>
      <c r="E61" s="132" t="s">
        <v>130</v>
      </c>
    </row>
    <row r="62" spans="2:25" ht="15" hidden="1" customHeight="1" x14ac:dyDescent="0.25">
      <c r="B62" s="133">
        <v>1</v>
      </c>
      <c r="C62" s="32">
        <v>1</v>
      </c>
      <c r="D62" s="119">
        <v>1</v>
      </c>
      <c r="E62" s="134">
        <f>B62^3</f>
        <v>1</v>
      </c>
    </row>
    <row r="63" spans="2:25" hidden="1" x14ac:dyDescent="0.25">
      <c r="B63" s="133">
        <v>0.8</v>
      </c>
      <c r="C63" s="32">
        <v>1</v>
      </c>
      <c r="D63" s="119">
        <v>0.95</v>
      </c>
      <c r="E63" s="134">
        <f t="shared" ref="E63:E67" si="13">B63^3</f>
        <v>0.51200000000000012</v>
      </c>
    </row>
    <row r="64" spans="2:25" hidden="1" x14ac:dyDescent="0.25">
      <c r="B64" s="133">
        <v>0.6</v>
      </c>
      <c r="C64" s="32">
        <v>1</v>
      </c>
      <c r="D64" s="119">
        <v>0.87</v>
      </c>
      <c r="E64" s="134">
        <f t="shared" si="13"/>
        <v>0.216</v>
      </c>
    </row>
    <row r="65" spans="2:16" hidden="1" x14ac:dyDescent="0.25">
      <c r="B65" s="133">
        <v>0.4</v>
      </c>
      <c r="C65" s="32">
        <v>1</v>
      </c>
      <c r="D65" s="119">
        <v>0.75</v>
      </c>
      <c r="E65" s="134">
        <f t="shared" si="13"/>
        <v>6.4000000000000015E-2</v>
      </c>
    </row>
    <row r="66" spans="2:16" hidden="1" x14ac:dyDescent="0.25">
      <c r="B66" s="133">
        <v>0.2</v>
      </c>
      <c r="C66" s="32">
        <v>1</v>
      </c>
      <c r="D66" s="119">
        <v>0.6</v>
      </c>
      <c r="E66" s="134">
        <f t="shared" si="13"/>
        <v>8.0000000000000019E-3</v>
      </c>
    </row>
    <row r="67" spans="2:16" hidden="1" x14ac:dyDescent="0.25">
      <c r="B67" s="133">
        <v>0</v>
      </c>
      <c r="C67" s="32">
        <v>1</v>
      </c>
      <c r="D67" s="119">
        <v>0.41</v>
      </c>
      <c r="E67" s="134">
        <f t="shared" si="13"/>
        <v>0</v>
      </c>
    </row>
    <row r="68" spans="2:16" hidden="1" x14ac:dyDescent="0.25">
      <c r="B68" s="135" t="s">
        <v>131</v>
      </c>
      <c r="C68" s="136">
        <v>1</v>
      </c>
      <c r="D68" s="136">
        <v>2</v>
      </c>
      <c r="E68" s="137">
        <v>3</v>
      </c>
    </row>
    <row r="69" spans="2:16" hidden="1" x14ac:dyDescent="0.25"/>
    <row r="70" spans="2:16" hidden="1" x14ac:dyDescent="0.25">
      <c r="P70" s="36"/>
    </row>
    <row r="71" spans="2:16" hidden="1" x14ac:dyDescent="0.25">
      <c r="D71" t="s">
        <v>132</v>
      </c>
      <c r="P71" s="36"/>
    </row>
    <row r="72" spans="2:16" hidden="1" x14ac:dyDescent="0.25">
      <c r="P72" s="36"/>
    </row>
    <row r="73" spans="2:16" ht="18.75" hidden="1" x14ac:dyDescent="0.3">
      <c r="D73" s="146" t="s">
        <v>133</v>
      </c>
      <c r="P73" s="36"/>
    </row>
    <row r="74" spans="2:16" hidden="1" x14ac:dyDescent="0.25">
      <c r="D74" t="s">
        <v>134</v>
      </c>
      <c r="P74" s="36"/>
    </row>
    <row r="75" spans="2:16" hidden="1" x14ac:dyDescent="0.25">
      <c r="D75" t="s">
        <v>135</v>
      </c>
      <c r="P75" s="36"/>
    </row>
    <row r="76" spans="2:16" hidden="1" x14ac:dyDescent="0.25">
      <c r="D76" t="s">
        <v>136</v>
      </c>
      <c r="P76" s="36"/>
    </row>
    <row r="77" spans="2:16" hidden="1" x14ac:dyDescent="0.25">
      <c r="P77" s="36"/>
    </row>
    <row r="78" spans="2:16" hidden="1" x14ac:dyDescent="0.25"/>
    <row r="79" spans="2:16" hidden="1" x14ac:dyDescent="0.25"/>
    <row r="80" spans="2:16" hidden="1" x14ac:dyDescent="0.25"/>
    <row r="81" spans="2:5" hidden="1" x14ac:dyDescent="0.25"/>
    <row r="82" spans="2:5" hidden="1" x14ac:dyDescent="0.25"/>
    <row r="83" spans="2:5" hidden="1" x14ac:dyDescent="0.25"/>
    <row r="84" spans="2:5" hidden="1" x14ac:dyDescent="0.25"/>
    <row r="85" spans="2:5" hidden="1" x14ac:dyDescent="0.25"/>
    <row r="86" spans="2:5" hidden="1" x14ac:dyDescent="0.25"/>
    <row r="87" spans="2:5" hidden="1" x14ac:dyDescent="0.25"/>
    <row r="88" spans="2:5" hidden="1" x14ac:dyDescent="0.25"/>
    <row r="89" spans="2:5" hidden="1" x14ac:dyDescent="0.25"/>
    <row r="90" spans="2:5" hidden="1" x14ac:dyDescent="0.25"/>
    <row r="91" spans="2:5" hidden="1" x14ac:dyDescent="0.25">
      <c r="B91" t="s">
        <v>137</v>
      </c>
    </row>
    <row r="92" spans="2:5" hidden="1" x14ac:dyDescent="0.25"/>
    <row r="93" spans="2:5" ht="15.75" hidden="1" x14ac:dyDescent="0.25">
      <c r="D93" s="138" t="s">
        <v>138</v>
      </c>
    </row>
    <row r="94" spans="2:5" ht="15.75" hidden="1" x14ac:dyDescent="0.25">
      <c r="D94" s="138"/>
    </row>
    <row r="95" spans="2:5" hidden="1" x14ac:dyDescent="0.25">
      <c r="B95" s="139" t="s">
        <v>139</v>
      </c>
      <c r="C95" s="140"/>
      <c r="D95" s="140"/>
      <c r="E95" s="140"/>
    </row>
    <row r="96" spans="2:5" hidden="1" x14ac:dyDescent="0.25">
      <c r="B96" s="141"/>
    </row>
    <row r="97" spans="2:2" hidden="1" x14ac:dyDescent="0.25">
      <c r="B97" s="141" t="s">
        <v>140</v>
      </c>
    </row>
    <row r="98" spans="2:2" hidden="1" x14ac:dyDescent="0.25"/>
    <row r="99" spans="2:2" hidden="1" x14ac:dyDescent="0.25">
      <c r="B99" s="141" t="s">
        <v>141</v>
      </c>
    </row>
    <row r="100" spans="2:2" hidden="1" x14ac:dyDescent="0.25">
      <c r="B100" s="141"/>
    </row>
    <row r="101" spans="2:2" hidden="1" x14ac:dyDescent="0.25">
      <c r="B101" s="141" t="s">
        <v>142</v>
      </c>
    </row>
    <row r="102" spans="2:2" hidden="1" x14ac:dyDescent="0.25">
      <c r="B102" s="141" t="s">
        <v>143</v>
      </c>
    </row>
    <row r="103" spans="2:2" hidden="1" x14ac:dyDescent="0.25"/>
    <row r="104" spans="2:2" hidden="1" x14ac:dyDescent="0.25">
      <c r="B104" s="141" t="s">
        <v>144</v>
      </c>
    </row>
    <row r="105" spans="2:2" hidden="1" x14ac:dyDescent="0.25"/>
    <row r="106" spans="2:2" hidden="1" x14ac:dyDescent="0.25">
      <c r="B106" s="141" t="s">
        <v>145</v>
      </c>
    </row>
    <row r="107" spans="2:2" hidden="1" x14ac:dyDescent="0.25">
      <c r="B107" s="141"/>
    </row>
    <row r="108" spans="2:2" hidden="1" x14ac:dyDescent="0.25"/>
    <row r="109" spans="2:2" hidden="1" x14ac:dyDescent="0.25"/>
    <row r="110" spans="2:2" hidden="1" x14ac:dyDescent="0.25"/>
    <row r="111" spans="2:2" hidden="1" x14ac:dyDescent="0.25"/>
    <row r="112" spans="2:2" hidden="1" x14ac:dyDescent="0.25"/>
    <row r="113" spans="2:2" hidden="1" x14ac:dyDescent="0.25"/>
    <row r="114" spans="2:2" hidden="1" x14ac:dyDescent="0.25"/>
    <row r="115" spans="2:2" hidden="1" x14ac:dyDescent="0.25"/>
    <row r="117" spans="2:2" x14ac:dyDescent="0.25">
      <c r="B117" s="176" t="s">
        <v>214</v>
      </c>
    </row>
    <row r="118" spans="2:2" x14ac:dyDescent="0.25">
      <c r="B118" s="177" t="s">
        <v>215</v>
      </c>
    </row>
  </sheetData>
  <sheetProtection algorithmName="SHA-512" hashValue="HPeIXfDNT/An5xrICYvW9OfQ/Bw51Ueci2XkodU+Ff3Sl+d265tyGNO0AfJ44kn5JaBMSpdxscXQFlq6+ZrCAA==" saltValue="EUbjL2cY0kvdb5inQZ/okg==" spinCount="100000" sheet="1" objects="1" scenarios="1"/>
  <protectedRanges>
    <protectedRange password="8BEB" sqref="C21:C26 C32" name="System Data"/>
    <protectedRange password="8BEB" sqref="C42:C45 C27 C30:C31" name="VFD Data"/>
    <protectedRange password="8BEB" sqref="I2:J2" name="Operating Hours"/>
    <protectedRange password="8BEB" sqref="G6:G18 B6:C18" name="Loadshape"/>
  </protectedRanges>
  <dataValidations disablePrompts="1" count="1">
    <dataValidation type="list" allowBlank="1" showInputMessage="1" showErrorMessage="1" sqref="C21" xr:uid="{41AD2963-43B1-449C-9BE0-31256F32D7CB}">
      <formula1>$D$43:$D$44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DFD7B-2761-41B8-8CDC-1980DFADC2CD}">
  <dimension ref="B1:Q43"/>
  <sheetViews>
    <sheetView topLeftCell="A44" zoomScale="115" zoomScaleNormal="115" workbookViewId="0">
      <selection activeCell="B53" sqref="B53"/>
    </sheetView>
  </sheetViews>
  <sheetFormatPr defaultRowHeight="15" x14ac:dyDescent="0.25"/>
  <cols>
    <col min="2" max="2" width="55.85546875" bestFit="1" customWidth="1"/>
    <col min="3" max="3" width="146.7109375" bestFit="1" customWidth="1"/>
    <col min="5" max="5" width="13.28515625" customWidth="1"/>
    <col min="6" max="6" width="19.85546875" customWidth="1"/>
    <col min="7" max="7" width="23.7109375" bestFit="1" customWidth="1"/>
    <col min="8" max="8" width="12.7109375" customWidth="1"/>
    <col min="9" max="9" width="11.42578125" bestFit="1" customWidth="1"/>
    <col min="10" max="10" width="10.85546875" customWidth="1"/>
    <col min="11" max="11" width="9.140625" customWidth="1"/>
    <col min="12" max="12" width="10.140625" customWidth="1"/>
    <col min="13" max="13" width="15.85546875" customWidth="1"/>
    <col min="14" max="14" width="17.7109375" customWidth="1"/>
    <col min="15" max="15" width="13.140625" customWidth="1"/>
    <col min="16" max="17" width="13.140625" bestFit="1" customWidth="1"/>
  </cols>
  <sheetData>
    <row r="1" spans="2:17" hidden="1" x14ac:dyDescent="0.25"/>
    <row r="2" spans="2:17" hidden="1" x14ac:dyDescent="0.25">
      <c r="B2" s="154" t="s">
        <v>146</v>
      </c>
      <c r="C2" s="98"/>
    </row>
    <row r="3" spans="2:17" ht="51.75" hidden="1" x14ac:dyDescent="0.25">
      <c r="B3" s="161" t="s">
        <v>147</v>
      </c>
      <c r="C3" s="168" t="s">
        <v>148</v>
      </c>
      <c r="E3" s="166" t="s">
        <v>149</v>
      </c>
      <c r="F3" s="166" t="s">
        <v>150</v>
      </c>
      <c r="G3" s="166" t="s">
        <v>151</v>
      </c>
      <c r="H3" s="167" t="s">
        <v>152</v>
      </c>
      <c r="I3" s="167" t="s">
        <v>153</v>
      </c>
      <c r="J3" s="167" t="s">
        <v>154</v>
      </c>
      <c r="K3" s="167" t="s">
        <v>113</v>
      </c>
      <c r="L3" s="167" t="s">
        <v>155</v>
      </c>
      <c r="M3" s="167" t="s">
        <v>107</v>
      </c>
      <c r="N3" s="167" t="s">
        <v>108</v>
      </c>
      <c r="O3" s="167" t="s">
        <v>156</v>
      </c>
      <c r="P3" s="167" t="s">
        <v>157</v>
      </c>
      <c r="Q3" s="167" t="s">
        <v>158</v>
      </c>
    </row>
    <row r="4" spans="2:17" hidden="1" x14ac:dyDescent="0.25">
      <c r="B4" s="161" t="s">
        <v>159</v>
      </c>
      <c r="C4" s="98" t="s">
        <v>160</v>
      </c>
      <c r="E4" s="98" t="s">
        <v>7</v>
      </c>
      <c r="F4" s="98" t="s">
        <v>161</v>
      </c>
      <c r="G4" s="98" t="s">
        <v>162</v>
      </c>
      <c r="H4" s="156">
        <v>0</v>
      </c>
      <c r="I4" s="157">
        <v>8930.52</v>
      </c>
      <c r="J4" s="157">
        <v>4.6180000000000003</v>
      </c>
      <c r="K4" s="157">
        <v>0.746</v>
      </c>
      <c r="L4" s="158">
        <v>1600</v>
      </c>
      <c r="M4" s="157">
        <v>2.5</v>
      </c>
      <c r="N4" s="157">
        <v>1.75</v>
      </c>
      <c r="O4" s="157">
        <v>-0.4375</v>
      </c>
      <c r="P4" s="157">
        <v>1.0261</v>
      </c>
      <c r="Q4" s="157">
        <v>0.41070000000000001</v>
      </c>
    </row>
    <row r="5" spans="2:17" hidden="1" x14ac:dyDescent="0.25">
      <c r="B5" s="161" t="s">
        <v>163</v>
      </c>
      <c r="C5" s="98" t="s">
        <v>160</v>
      </c>
      <c r="E5" s="98" t="s">
        <v>164</v>
      </c>
      <c r="F5" s="98" t="s">
        <v>161</v>
      </c>
      <c r="G5" s="98" t="s">
        <v>162</v>
      </c>
      <c r="H5" s="156">
        <v>0</v>
      </c>
      <c r="I5" s="157">
        <v>8930.52</v>
      </c>
      <c r="J5" s="157">
        <v>4.6180000000000003</v>
      </c>
      <c r="K5" s="157">
        <v>0.746</v>
      </c>
      <c r="L5" s="158">
        <v>1600</v>
      </c>
      <c r="M5" s="157">
        <v>2.5</v>
      </c>
      <c r="N5" s="157">
        <v>1.75</v>
      </c>
      <c r="O5" s="157">
        <v>-0.4375</v>
      </c>
      <c r="P5" s="157">
        <v>1.0261</v>
      </c>
      <c r="Q5" s="157">
        <v>0.41070000000000001</v>
      </c>
    </row>
    <row r="6" spans="2:17" hidden="1" x14ac:dyDescent="0.25">
      <c r="B6" s="161" t="s">
        <v>165</v>
      </c>
      <c r="C6" s="98" t="s">
        <v>160</v>
      </c>
    </row>
    <row r="7" spans="2:17" hidden="1" x14ac:dyDescent="0.25">
      <c r="B7" s="161" t="s">
        <v>166</v>
      </c>
      <c r="C7" s="98" t="s">
        <v>160</v>
      </c>
    </row>
    <row r="8" spans="2:17" hidden="1" x14ac:dyDescent="0.25">
      <c r="B8" s="161" t="s">
        <v>167</v>
      </c>
      <c r="C8" s="98" t="s">
        <v>168</v>
      </c>
    </row>
    <row r="9" spans="2:17" hidden="1" x14ac:dyDescent="0.25">
      <c r="B9" s="161" t="s">
        <v>169</v>
      </c>
      <c r="C9" s="168" t="s">
        <v>170</v>
      </c>
    </row>
    <row r="10" spans="2:17" hidden="1" x14ac:dyDescent="0.25">
      <c r="B10" s="161"/>
      <c r="C10" s="98"/>
    </row>
    <row r="11" spans="2:17" hidden="1" x14ac:dyDescent="0.25">
      <c r="B11" s="165" t="s">
        <v>171</v>
      </c>
      <c r="C11" s="98"/>
    </row>
    <row r="12" spans="2:17" hidden="1" x14ac:dyDescent="0.25">
      <c r="B12" s="161" t="s">
        <v>152</v>
      </c>
      <c r="C12" s="156">
        <v>0</v>
      </c>
    </row>
    <row r="13" spans="2:17" hidden="1" x14ac:dyDescent="0.25">
      <c r="B13" s="161" t="s">
        <v>153</v>
      </c>
      <c r="C13" s="157">
        <v>8930.52</v>
      </c>
    </row>
    <row r="14" spans="2:17" hidden="1" x14ac:dyDescent="0.25">
      <c r="B14" s="161" t="s">
        <v>154</v>
      </c>
      <c r="C14" s="157">
        <v>4.6180000000000003</v>
      </c>
    </row>
    <row r="15" spans="2:17" hidden="1" x14ac:dyDescent="0.25">
      <c r="B15" s="161" t="s">
        <v>113</v>
      </c>
      <c r="C15" s="157">
        <v>0.746</v>
      </c>
    </row>
    <row r="16" spans="2:17" hidden="1" x14ac:dyDescent="0.25">
      <c r="B16" s="161" t="s">
        <v>155</v>
      </c>
      <c r="C16" s="158">
        <v>1600</v>
      </c>
    </row>
    <row r="17" spans="2:3" hidden="1" x14ac:dyDescent="0.25">
      <c r="B17" s="162" t="s">
        <v>107</v>
      </c>
      <c r="C17" s="157">
        <v>2.5</v>
      </c>
    </row>
    <row r="18" spans="2:3" hidden="1" x14ac:dyDescent="0.25">
      <c r="B18" s="162" t="s">
        <v>108</v>
      </c>
      <c r="C18" s="157">
        <v>1.75</v>
      </c>
    </row>
    <row r="19" spans="2:3" hidden="1" x14ac:dyDescent="0.25">
      <c r="B19" s="162" t="s">
        <v>156</v>
      </c>
      <c r="C19" s="157">
        <v>-0.4375</v>
      </c>
    </row>
    <row r="20" spans="2:3" hidden="1" x14ac:dyDescent="0.25">
      <c r="B20" s="162" t="s">
        <v>157</v>
      </c>
      <c r="C20" s="157">
        <v>1.0261</v>
      </c>
    </row>
    <row r="21" spans="2:3" hidden="1" x14ac:dyDescent="0.25">
      <c r="B21" s="162" t="s">
        <v>158</v>
      </c>
      <c r="C21" s="157">
        <v>0.41070000000000001</v>
      </c>
    </row>
    <row r="22" spans="2:3" hidden="1" x14ac:dyDescent="0.25">
      <c r="B22" s="155" t="s">
        <v>172</v>
      </c>
      <c r="C22" s="160" t="s">
        <v>173</v>
      </c>
    </row>
    <row r="23" spans="2:3" hidden="1" x14ac:dyDescent="0.25">
      <c r="B23" s="159" t="s">
        <v>174</v>
      </c>
      <c r="C23" s="154" t="s">
        <v>175</v>
      </c>
    </row>
    <row r="24" spans="2:3" hidden="1" x14ac:dyDescent="0.25">
      <c r="B24" s="159" t="s">
        <v>176</v>
      </c>
      <c r="C24" s="154" t="s">
        <v>177</v>
      </c>
    </row>
    <row r="25" spans="2:3" hidden="1" x14ac:dyDescent="0.25">
      <c r="B25" s="159" t="s">
        <v>178</v>
      </c>
      <c r="C25" s="154" t="s">
        <v>179</v>
      </c>
    </row>
    <row r="26" spans="2:3" hidden="1" x14ac:dyDescent="0.25">
      <c r="B26" s="159" t="s">
        <v>180</v>
      </c>
      <c r="C26" s="154" t="s">
        <v>181</v>
      </c>
    </row>
    <row r="27" spans="2:3" hidden="1" x14ac:dyDescent="0.25">
      <c r="B27" s="159" t="s">
        <v>182</v>
      </c>
      <c r="C27" s="154" t="s">
        <v>183</v>
      </c>
    </row>
    <row r="28" spans="2:3" hidden="1" x14ac:dyDescent="0.25">
      <c r="B28" s="159" t="s">
        <v>184</v>
      </c>
      <c r="C28" s="154" t="s">
        <v>185</v>
      </c>
    </row>
    <row r="29" spans="2:3" hidden="1" x14ac:dyDescent="0.25">
      <c r="B29" s="159" t="s">
        <v>186</v>
      </c>
      <c r="C29" s="154" t="s">
        <v>187</v>
      </c>
    </row>
    <row r="30" spans="2:3" hidden="1" x14ac:dyDescent="0.25">
      <c r="B30" s="159" t="s">
        <v>188</v>
      </c>
      <c r="C30" s="154" t="s">
        <v>187</v>
      </c>
    </row>
    <row r="31" spans="2:3" hidden="1" x14ac:dyDescent="0.25">
      <c r="B31" s="159" t="s">
        <v>189</v>
      </c>
      <c r="C31" s="171" t="s">
        <v>190</v>
      </c>
    </row>
    <row r="32" spans="2:3" hidden="1" x14ac:dyDescent="0.25">
      <c r="B32" s="159" t="s">
        <v>191</v>
      </c>
      <c r="C32" s="171" t="s">
        <v>192</v>
      </c>
    </row>
    <row r="33" spans="2:3" hidden="1" x14ac:dyDescent="0.25">
      <c r="B33" s="159" t="s">
        <v>193</v>
      </c>
      <c r="C33" s="171" t="s">
        <v>194</v>
      </c>
    </row>
    <row r="34" spans="2:3" hidden="1" x14ac:dyDescent="0.25">
      <c r="B34" s="159" t="s">
        <v>195</v>
      </c>
      <c r="C34" s="171" t="s">
        <v>196</v>
      </c>
    </row>
    <row r="35" spans="2:3" hidden="1" x14ac:dyDescent="0.25"/>
    <row r="36" spans="2:3" hidden="1" x14ac:dyDescent="0.25">
      <c r="B36" s="155" t="s">
        <v>197</v>
      </c>
      <c r="C36" s="160"/>
    </row>
    <row r="37" spans="2:3" hidden="1" x14ac:dyDescent="0.25">
      <c r="B37" s="169" t="s">
        <v>198</v>
      </c>
      <c r="C37" s="170" t="s">
        <v>199</v>
      </c>
    </row>
    <row r="38" spans="2:3" hidden="1" x14ac:dyDescent="0.25">
      <c r="B38" s="169" t="s">
        <v>200</v>
      </c>
      <c r="C38" s="170" t="s">
        <v>199</v>
      </c>
    </row>
    <row r="39" spans="2:3" hidden="1" x14ac:dyDescent="0.25">
      <c r="B39" s="169" t="s">
        <v>189</v>
      </c>
      <c r="C39" s="170" t="s">
        <v>201</v>
      </c>
    </row>
    <row r="40" spans="2:3" hidden="1" x14ac:dyDescent="0.25">
      <c r="B40" s="169" t="s">
        <v>191</v>
      </c>
      <c r="C40" s="170" t="s">
        <v>201</v>
      </c>
    </row>
    <row r="41" spans="2:3" hidden="1" x14ac:dyDescent="0.25">
      <c r="B41" s="169" t="s">
        <v>193</v>
      </c>
      <c r="C41" s="170" t="s">
        <v>201</v>
      </c>
    </row>
    <row r="42" spans="2:3" hidden="1" x14ac:dyDescent="0.25">
      <c r="B42" s="169" t="s">
        <v>195</v>
      </c>
      <c r="C42" s="170" t="s">
        <v>201</v>
      </c>
    </row>
    <row r="43" spans="2:3" hidden="1" x14ac:dyDescent="0.25"/>
  </sheetData>
  <sheetProtection algorithmName="SHA-512" hashValue="riVvGMj/E0pMEkQwMmX3yoMx2IgG9HD3WpNTZ+u3Lukw90UhRB2IRtR4x55DkMcXDBeffyL7mlm1IQI4Gr23zA==" saltValue="OqraJgv2HQFEG5fjaa+l2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AE0E5-479E-4497-94BD-E15AF773287B}">
  <dimension ref="C1:C16"/>
  <sheetViews>
    <sheetView topLeftCell="A17" workbookViewId="0">
      <selection activeCell="B53" sqref="B53"/>
    </sheetView>
  </sheetViews>
  <sheetFormatPr defaultRowHeight="15" x14ac:dyDescent="0.25"/>
  <cols>
    <col min="3" max="3" width="54" customWidth="1"/>
  </cols>
  <sheetData>
    <row r="1" spans="3:3" hidden="1" x14ac:dyDescent="0.25">
      <c r="C1" s="154" t="s">
        <v>202</v>
      </c>
    </row>
    <row r="2" spans="3:3" hidden="1" x14ac:dyDescent="0.25">
      <c r="C2" s="98" t="s">
        <v>203</v>
      </c>
    </row>
    <row r="3" spans="3:3" hidden="1" x14ac:dyDescent="0.25">
      <c r="C3" s="98" t="s">
        <v>204</v>
      </c>
    </row>
    <row r="4" spans="3:3" hidden="1" x14ac:dyDescent="0.25">
      <c r="C4" s="98" t="s">
        <v>205</v>
      </c>
    </row>
    <row r="5" spans="3:3" hidden="1" x14ac:dyDescent="0.25">
      <c r="C5" s="98" t="s">
        <v>206</v>
      </c>
    </row>
    <row r="6" spans="3:3" hidden="1" x14ac:dyDescent="0.25">
      <c r="C6" s="98" t="s">
        <v>207</v>
      </c>
    </row>
    <row r="7" spans="3:3" hidden="1" x14ac:dyDescent="0.25"/>
    <row r="8" spans="3:3" hidden="1" x14ac:dyDescent="0.25"/>
    <row r="9" spans="3:3" hidden="1" x14ac:dyDescent="0.25"/>
    <row r="10" spans="3:3" hidden="1" x14ac:dyDescent="0.25"/>
    <row r="11" spans="3:3" hidden="1" x14ac:dyDescent="0.25"/>
    <row r="12" spans="3:3" hidden="1" x14ac:dyDescent="0.25"/>
    <row r="13" spans="3:3" hidden="1" x14ac:dyDescent="0.25"/>
    <row r="14" spans="3:3" hidden="1" x14ac:dyDescent="0.25"/>
    <row r="15" spans="3:3" hidden="1" x14ac:dyDescent="0.25"/>
    <row r="16" spans="3:3" hidden="1" x14ac:dyDescent="0.25"/>
  </sheetData>
  <sheetProtection algorithmName="SHA-512" hashValue="r1fIaJPIyuhYdKCAGaHBso7NB15HwRROLTTKNXY/2sSev9u4qiqjUjKbkHIDp09TZpAW4Z1uPIgiYHkrQa6r4A==" saltValue="stlJ3IfE5UcS6APmoIvOB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C0B76-6EEE-486E-841A-EEA1D5174B47}">
  <dimension ref="B1:J13"/>
  <sheetViews>
    <sheetView topLeftCell="A14" workbookViewId="0">
      <selection activeCell="E37" sqref="E37"/>
    </sheetView>
  </sheetViews>
  <sheetFormatPr defaultRowHeight="15" x14ac:dyDescent="0.25"/>
  <sheetData>
    <row r="1" spans="2:10" hidden="1" x14ac:dyDescent="0.25"/>
    <row r="2" spans="2:10" hidden="1" x14ac:dyDescent="0.25"/>
    <row r="3" spans="2:10" hidden="1" x14ac:dyDescent="0.25">
      <c r="B3" s="172"/>
      <c r="C3" s="172"/>
      <c r="D3" s="172"/>
      <c r="E3" s="172"/>
      <c r="F3" s="172"/>
      <c r="G3" s="172"/>
      <c r="H3" s="172"/>
      <c r="I3" s="172"/>
      <c r="J3" s="172"/>
    </row>
    <row r="4" spans="2:10" hidden="1" x14ac:dyDescent="0.25">
      <c r="B4" s="172"/>
      <c r="C4" s="172"/>
      <c r="D4" s="172"/>
      <c r="E4" s="172"/>
      <c r="F4" s="172"/>
      <c r="G4" s="172"/>
      <c r="H4" s="172"/>
      <c r="I4" s="172"/>
      <c r="J4" s="172"/>
    </row>
    <row r="5" spans="2:10" hidden="1" x14ac:dyDescent="0.25">
      <c r="B5" s="172"/>
      <c r="C5" s="173" t="s">
        <v>208</v>
      </c>
      <c r="D5" s="173" t="s">
        <v>208</v>
      </c>
      <c r="E5" s="173" t="s">
        <v>209</v>
      </c>
      <c r="F5" s="173" t="s">
        <v>208</v>
      </c>
      <c r="G5" s="173" t="s">
        <v>208</v>
      </c>
      <c r="H5" s="173" t="s">
        <v>208</v>
      </c>
      <c r="I5" s="172" t="s">
        <v>20</v>
      </c>
      <c r="J5" s="172"/>
    </row>
    <row r="6" spans="2:10" hidden="1" x14ac:dyDescent="0.25">
      <c r="B6" s="173" t="s">
        <v>210</v>
      </c>
      <c r="C6" s="172">
        <v>120</v>
      </c>
      <c r="D6" s="172">
        <v>250</v>
      </c>
      <c r="E6" s="172">
        <v>800</v>
      </c>
      <c r="F6" s="172">
        <v>200</v>
      </c>
      <c r="G6" s="172">
        <v>140</v>
      </c>
      <c r="H6" s="172">
        <v>300</v>
      </c>
      <c r="I6" s="172">
        <f>AVERAGE(C6:H6)</f>
        <v>301.66666666666669</v>
      </c>
      <c r="J6" s="172"/>
    </row>
    <row r="7" spans="2:10" hidden="1" x14ac:dyDescent="0.25">
      <c r="B7" s="173" t="s">
        <v>211</v>
      </c>
      <c r="C7" s="172">
        <v>10</v>
      </c>
      <c r="D7" s="172">
        <v>40</v>
      </c>
      <c r="E7" s="172">
        <v>25</v>
      </c>
      <c r="F7" s="172">
        <v>20</v>
      </c>
      <c r="G7" s="172">
        <v>15</v>
      </c>
      <c r="H7" s="172">
        <v>30</v>
      </c>
      <c r="I7" s="172">
        <f>AVERAGE(C7:H7)</f>
        <v>23.333333333333332</v>
      </c>
      <c r="J7" s="172"/>
    </row>
    <row r="8" spans="2:10" hidden="1" x14ac:dyDescent="0.25">
      <c r="B8" s="173" t="s">
        <v>212</v>
      </c>
      <c r="C8" s="172"/>
      <c r="D8" s="172"/>
      <c r="E8" s="172"/>
      <c r="F8" s="172"/>
      <c r="G8" s="172"/>
      <c r="H8" s="172"/>
      <c r="I8" s="172">
        <f>(I6*12000)/(500*10)</f>
        <v>724</v>
      </c>
      <c r="J8" s="172"/>
    </row>
    <row r="9" spans="2:10" hidden="1" x14ac:dyDescent="0.25">
      <c r="B9" s="173" t="s">
        <v>213</v>
      </c>
      <c r="C9" s="172"/>
      <c r="D9" s="172"/>
      <c r="E9" s="172"/>
      <c r="F9" s="172"/>
      <c r="G9" s="172"/>
      <c r="H9" s="172"/>
      <c r="I9" s="172">
        <v>5</v>
      </c>
      <c r="J9" s="172">
        <f>I9/I7</f>
        <v>0.2142857142857143</v>
      </c>
    </row>
    <row r="10" spans="2:10" hidden="1" x14ac:dyDescent="0.25">
      <c r="B10" s="172"/>
      <c r="C10" s="172"/>
      <c r="D10" s="172"/>
      <c r="E10" s="172"/>
      <c r="F10" s="172"/>
      <c r="G10" s="172"/>
      <c r="H10" s="172"/>
      <c r="I10" s="172"/>
      <c r="J10" s="172"/>
    </row>
    <row r="11" spans="2:10" hidden="1" x14ac:dyDescent="0.25"/>
    <row r="12" spans="2:10" hidden="1" x14ac:dyDescent="0.25">
      <c r="B12">
        <f>300*12000/5000</f>
        <v>720</v>
      </c>
    </row>
    <row r="13" spans="2:10" hidden="1" x14ac:dyDescent="0.25"/>
  </sheetData>
  <sheetProtection algorithmName="SHA-512" hashValue="Scwcz1fqipUii/IboWS+lp/ZJ7j5xx2ttXwyLoYI3hZ4J0f9JWgalOWiz6lElCqkcNnoVPg1njjqRnURiNXe0A==" saltValue="DydJ6dU9xwDeaiPDwJ7tmw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ACCE93DD3CC745AFB3EC5678DC486F" ma:contentTypeVersion="18" ma:contentTypeDescription="Create a new document." ma:contentTypeScope="" ma:versionID="d8190d0e140fa98ee6cb2ed9d47c7a57">
  <xsd:schema xmlns:xsd="http://www.w3.org/2001/XMLSchema" xmlns:xs="http://www.w3.org/2001/XMLSchema" xmlns:p="http://schemas.microsoft.com/office/2006/metadata/properties" xmlns:ns1="http://schemas.microsoft.com/sharepoint/v3" xmlns:ns2="a624c0a4-bd81-4efe-8b3a-0f70bd6a02cb" xmlns:ns3="2e2327f1-c77c-4620-b058-9a9d78636789" targetNamespace="http://schemas.microsoft.com/office/2006/metadata/properties" ma:root="true" ma:fieldsID="21e22f341a2f98d1f6099d4e07a7a98e" ns1:_="" ns2:_="" ns3:_="">
    <xsd:import namespace="http://schemas.microsoft.com/sharepoint/v3"/>
    <xsd:import namespace="a624c0a4-bd81-4efe-8b3a-0f70bd6a02cb"/>
    <xsd:import namespace="2e2327f1-c77c-4620-b058-9a9d786367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Product_x0020_name" minOccurs="0"/>
                <xsd:element ref="ns2:Product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4c0a4-bd81-4efe-8b3a-0f70bd6a02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c379444-718f-4044-93bd-bdc834bc6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Product_x0020_name" ma:index="24" nillable="true" ma:displayName="Product Name" ma:format="Dropdown" ma:internalName="Product_x0020_name">
      <xsd:simpleType>
        <xsd:restriction base="dms:Text">
          <xsd:maxLength value="255"/>
        </xsd:restriction>
      </xsd:simpleType>
    </xsd:element>
    <xsd:element name="Product_x0020_category" ma:index="25" nillable="true" ma:displayName="Product Category" ma:format="Dropdown" ma:internalName="Product_x0020_category">
      <xsd:simpleType>
        <xsd:restriction base="dms:Choice">
          <xsd:enumeration value="Area"/>
          <xsd:enumeration value="Roadway"/>
          <xsd:enumeration value="Pendant"/>
          <xsd:enumeration value="Post top"/>
          <xsd:enumeration value="Bollard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327f1-c77c-4620-b058-9a9d786367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1e3fdf2-324f-4cf7-8b4e-a4d801e19c62}" ma:internalName="TaxCatchAll" ma:showField="CatchAllData" ma:web="2e2327f1-c77c-4620-b058-9a9d78636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Product_x0020_name xmlns="a624c0a4-bd81-4efe-8b3a-0f70bd6a02cb" xsi:nil="true"/>
    <TaxCatchAll xmlns="2e2327f1-c77c-4620-b058-9a9d78636789" xsi:nil="true"/>
    <_ip_UnifiedCompliancePolicyProperties xmlns="http://schemas.microsoft.com/sharepoint/v3" xsi:nil="true"/>
    <Product_x0020_category xmlns="a624c0a4-bd81-4efe-8b3a-0f70bd6a02cb" xsi:nil="true"/>
    <lcf76f155ced4ddcb4097134ff3c332f xmlns="a624c0a4-bd81-4efe-8b3a-0f70bd6a02c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6DC429-3C4C-4914-9C0B-7FFEFC106D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624c0a4-bd81-4efe-8b3a-0f70bd6a02cb"/>
    <ds:schemaRef ds:uri="2e2327f1-c77c-4620-b058-9a9d786367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1D2C1F-3914-43D5-80E7-B0B9D68556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557587-8C0F-4EFC-8BDE-2427DC72F98C}">
  <ds:schemaRefs>
    <ds:schemaRef ds:uri="http://purl.org/dc/elements/1.1/"/>
    <ds:schemaRef ds:uri="http://schemas.microsoft.com/office/2006/metadata/properties"/>
    <ds:schemaRef ds:uri="5d610ecf-d86f-4bec-92bc-047c515232c3"/>
    <ds:schemaRef ds:uri="http://purl.org/dc/terms/"/>
    <ds:schemaRef ds:uri="http://schemas.openxmlformats.org/package/2006/metadata/core-properties"/>
    <ds:schemaRef ds:uri="http://purl.org/dc/dcmitype/"/>
    <ds:schemaRef ds:uri="7f000ab9-6d3a-4dcc-9dce-52095c2d84c5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sharepoint/v3"/>
    <ds:schemaRef ds:uri="a624c0a4-bd81-4efe-8b3a-0f70bd6a02cb"/>
    <ds:schemaRef ds:uri="2e2327f1-c77c-4620-b058-9a9d78636789"/>
  </ds:schemaRefs>
</ds:datastoreItem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DX</vt:lpstr>
      <vt:lpstr>VFD Calcs</vt:lpstr>
      <vt:lpstr>Vlocity Matrices</vt:lpstr>
      <vt:lpstr>Required Documents</vt:lpstr>
      <vt:lpstr>Sheet1</vt:lpstr>
      <vt:lpstr>KW_reduction_at_meter</vt:lpstr>
      <vt:lpstr>'VFD Calcs'!Method</vt:lpstr>
      <vt:lpstr>'Vlocity Matrices'!Method</vt:lpstr>
      <vt:lpstr>'VFD Calcs'!Power_speed_reduction</vt:lpstr>
      <vt:lpstr>'Vlocity Matrices'!Power_speed_reduction</vt:lpstr>
      <vt:lpstr>'VFD Calcs'!Pump_Power_kW</vt:lpstr>
      <vt:lpstr>'Vlocity Matrices'!Pump_Power_kW</vt:lpstr>
      <vt:lpstr>'VFD Calcs'!VFD_eff_pen</vt:lpstr>
      <vt:lpstr>Water_Cooled</vt:lpstr>
      <vt:lpstr>Water_Cooled_Weighted_Average</vt:lpstr>
    </vt:vector>
  </TitlesOfParts>
  <Manager/>
  <Company>NexteraEnergy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Lui, Chi</dc:creator>
  <cp:keywords/>
  <dc:description/>
  <cp:lastModifiedBy>Fogg, Ashley</cp:lastModifiedBy>
  <cp:revision/>
  <dcterms:created xsi:type="dcterms:W3CDTF">2024-09-13T14:46:24Z</dcterms:created>
  <dcterms:modified xsi:type="dcterms:W3CDTF">2026-05-19T15:40:33Z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0x010100F3ACCE93DD3CC745AFB3EC5678DC486F</vt:lpwstr>
  </property>
  <property fmtid="{D5CDD505-2E9C-101B-9397-08002B2CF9AE}" pid="3" name="MediaServiceImageTags">
    <vt:lpwstr/>
  </property>
</Properties>
</file>